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O:\A_PFL\BWSB\BWSB-Persönlich\Simon\Begrünung\Begrünungsrechner\2026\"/>
    </mc:Choice>
  </mc:AlternateContent>
  <xr:revisionPtr revIDLastSave="0" documentId="13_ncr:1_{6D71F22F-CA78-4757-B6CC-E0FEE3F50844}" xr6:coauthVersionLast="47" xr6:coauthVersionMax="47" xr10:uidLastSave="{00000000-0000-0000-0000-000000000000}"/>
  <bookViews>
    <workbookView xWindow="1485" yWindow="-120" windowWidth="27435" windowHeight="16440" tabRatio="708" xr2:uid="{00000000-000D-0000-FFFF-FFFF00000000}"/>
  </bookViews>
  <sheets>
    <sheet name="Anleitung" sheetId="20" r:id="rId1"/>
    <sheet name="Begr.-Rechner int. Prod." sheetId="2" r:id="rId2"/>
    <sheet name="Zusammenfassung int. Prod." sheetId="15" r:id="rId3"/>
    <sheet name="Konventionell (2)" sheetId="10" state="hidden" r:id="rId4"/>
    <sheet name="Mischungen verfeinern" sheetId="34" r:id="rId5"/>
    <sheet name="Komp.Misch." sheetId="37" state="hidden" r:id="rId6"/>
    <sheet name="Komp.Kosten" sheetId="40" state="hidden" r:id="rId7"/>
    <sheet name="Begr.-Rechner BIO" sheetId="3" r:id="rId8"/>
    <sheet name="BIO (2)" sheetId="18" state="hidden" r:id="rId9"/>
    <sheet name="Zusammenfassung BIO" sheetId="17" r:id="rId10"/>
    <sheet name="Begrünungsliste 2026" sheetId="41" r:id="rId11"/>
    <sheet name="Anbauzeitpunkte" sheetId="6" r:id="rId12"/>
  </sheets>
  <definedNames>
    <definedName name="_xlnm._FilterDatabase" localSheetId="10" hidden="1">'Begrünungsliste 2026'!#REF!</definedName>
    <definedName name="_xlnm.Print_Area" localSheetId="11">Anbauzeitpunkte!$A$1:$G$40</definedName>
    <definedName name="_xlnm.Print_Area" localSheetId="1">'Begr.-Rechner int. Prod.'!$A$1:$H$66</definedName>
    <definedName name="_xlnm.Print_Area" localSheetId="3">'Konventionell (2)'!$A$1:$H$65</definedName>
    <definedName name="_xlnm.Print_Area" localSheetId="4">'Mischungen verfeinern'!$A$1:$H$18</definedName>
    <definedName name="_xlnm.Print_Area" localSheetId="9">'Zusammenfassung BIO'!$A$1:$I$39</definedName>
    <definedName name="_xlnm.Print_Area" localSheetId="2">'Zusammenfassung int. Prod.'!$A$1:$I$39</definedName>
    <definedName name="Einzelkulturen" localSheetId="3">'Konventionell (2)'!$A$3:$H$65</definedName>
    <definedName name="Einzelkulturen">'Begr.-Rechner int. Prod.'!$A$4:$H$66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 i="18" l="1"/>
  <c r="O5" i="18"/>
  <c r="O6" i="18"/>
  <c r="O7" i="18"/>
  <c r="O8" i="18"/>
  <c r="O9" i="18"/>
  <c r="O10" i="18"/>
  <c r="O11" i="18"/>
  <c r="O14" i="18"/>
  <c r="O15" i="18"/>
  <c r="O16" i="18"/>
  <c r="O17" i="18"/>
  <c r="O18" i="18"/>
  <c r="O19" i="18"/>
  <c r="O20" i="18"/>
  <c r="O21" i="18"/>
  <c r="O22" i="18"/>
  <c r="O23" i="18"/>
  <c r="O24" i="18"/>
  <c r="O25" i="18"/>
  <c r="O26" i="18"/>
  <c r="O27" i="18"/>
  <c r="O28" i="18"/>
  <c r="O29" i="18"/>
  <c r="O30" i="18"/>
  <c r="O31" i="18"/>
  <c r="O32" i="18"/>
  <c r="O33" i="18"/>
  <c r="O34" i="18"/>
  <c r="O35" i="18"/>
  <c r="O36" i="18"/>
  <c r="O37" i="18"/>
  <c r="O38" i="18"/>
  <c r="O39" i="18"/>
  <c r="O40" i="18"/>
  <c r="O41" i="18"/>
  <c r="O42" i="18"/>
  <c r="O43" i="18"/>
  <c r="O44" i="18"/>
  <c r="O45" i="18"/>
  <c r="O46" i="18"/>
  <c r="O47" i="18"/>
  <c r="O48" i="18"/>
  <c r="O49" i="18"/>
  <c r="O50" i="18"/>
  <c r="O51" i="18"/>
  <c r="O52" i="18"/>
  <c r="O53" i="18"/>
  <c r="O54" i="18"/>
  <c r="O55" i="18"/>
  <c r="O56" i="18"/>
  <c r="O57" i="18"/>
  <c r="O3" i="18"/>
  <c r="U52" i="18"/>
  <c r="U53" i="18"/>
  <c r="U54" i="18"/>
  <c r="U55" i="18"/>
  <c r="U56" i="18"/>
  <c r="U57" i="18"/>
  <c r="U51" i="18"/>
  <c r="U4" i="18"/>
  <c r="U5" i="18"/>
  <c r="U6" i="18"/>
  <c r="U7" i="18"/>
  <c r="U8" i="18"/>
  <c r="U9" i="18"/>
  <c r="U10" i="18"/>
  <c r="U11" i="18"/>
  <c r="U14" i="18"/>
  <c r="U15" i="18"/>
  <c r="U16" i="18"/>
  <c r="U17" i="18"/>
  <c r="U18" i="18"/>
  <c r="U19" i="18"/>
  <c r="U20" i="18"/>
  <c r="U21" i="18"/>
  <c r="U22" i="18"/>
  <c r="U23" i="18"/>
  <c r="U24" i="18"/>
  <c r="U25" i="18"/>
  <c r="U26" i="18"/>
  <c r="U27" i="18"/>
  <c r="U28" i="18"/>
  <c r="U29" i="18"/>
  <c r="U30" i="18"/>
  <c r="U31" i="18"/>
  <c r="U32" i="18"/>
  <c r="U33" i="18"/>
  <c r="U34" i="18"/>
  <c r="U35" i="18"/>
  <c r="U36" i="18"/>
  <c r="U37" i="18"/>
  <c r="U38" i="18"/>
  <c r="U39" i="18"/>
  <c r="U40" i="18"/>
  <c r="U41" i="18"/>
  <c r="U42" i="18"/>
  <c r="U43" i="18"/>
  <c r="U44" i="18"/>
  <c r="U45" i="18"/>
  <c r="U46" i="18"/>
  <c r="U47" i="18"/>
  <c r="U48" i="18"/>
  <c r="U49" i="18"/>
  <c r="U50" i="18"/>
  <c r="B4" i="18"/>
  <c r="C4" i="18"/>
  <c r="D4" i="18"/>
  <c r="E4" i="18"/>
  <c r="F4" i="18"/>
  <c r="G4" i="18"/>
  <c r="H4" i="18"/>
  <c r="I4" i="18"/>
  <c r="B5" i="18"/>
  <c r="C5" i="18"/>
  <c r="D5" i="18"/>
  <c r="E5" i="18"/>
  <c r="F5" i="18"/>
  <c r="G5" i="18"/>
  <c r="H5" i="18"/>
  <c r="I5" i="18"/>
  <c r="B6" i="18"/>
  <c r="C6" i="18"/>
  <c r="D6" i="18"/>
  <c r="E6" i="18"/>
  <c r="F6" i="18"/>
  <c r="G6" i="18"/>
  <c r="H6" i="18"/>
  <c r="I6" i="18"/>
  <c r="B7" i="18"/>
  <c r="C7" i="18"/>
  <c r="D7" i="18"/>
  <c r="E7" i="18"/>
  <c r="F7" i="18"/>
  <c r="G7" i="18"/>
  <c r="H7" i="18"/>
  <c r="I7" i="18"/>
  <c r="B8" i="18"/>
  <c r="C8" i="18"/>
  <c r="D8" i="18"/>
  <c r="E8" i="18"/>
  <c r="F8" i="18"/>
  <c r="G8" i="18"/>
  <c r="H8" i="18"/>
  <c r="I8" i="18"/>
  <c r="B9" i="18"/>
  <c r="C9" i="18"/>
  <c r="D9" i="18"/>
  <c r="E9" i="18"/>
  <c r="F9" i="18"/>
  <c r="G9" i="18"/>
  <c r="H9" i="18"/>
  <c r="I9" i="18"/>
  <c r="B10" i="18"/>
  <c r="C10" i="18"/>
  <c r="D10" i="18"/>
  <c r="E10" i="18"/>
  <c r="F10" i="18"/>
  <c r="G10" i="18"/>
  <c r="H10" i="18"/>
  <c r="I10" i="18"/>
  <c r="B11" i="18"/>
  <c r="C11" i="18"/>
  <c r="D11" i="18"/>
  <c r="E11" i="18"/>
  <c r="F11" i="18"/>
  <c r="G11" i="18"/>
  <c r="H11" i="18"/>
  <c r="I11" i="18"/>
  <c r="B12" i="18"/>
  <c r="C12" i="18"/>
  <c r="D12" i="18"/>
  <c r="E12" i="18"/>
  <c r="F12" i="18"/>
  <c r="G12" i="18"/>
  <c r="H12" i="18"/>
  <c r="I12" i="18"/>
  <c r="B13" i="18"/>
  <c r="C13" i="18"/>
  <c r="D13" i="18"/>
  <c r="F13" i="18"/>
  <c r="G13" i="18"/>
  <c r="H13" i="18"/>
  <c r="I13" i="18"/>
  <c r="B14" i="18"/>
  <c r="C14" i="18"/>
  <c r="D14" i="18"/>
  <c r="E14" i="18"/>
  <c r="F14" i="18"/>
  <c r="G14" i="18"/>
  <c r="H14" i="18"/>
  <c r="I14" i="18"/>
  <c r="B15" i="18"/>
  <c r="C15" i="18"/>
  <c r="D15" i="18"/>
  <c r="E15" i="18"/>
  <c r="F15" i="18"/>
  <c r="G15" i="18"/>
  <c r="H15" i="18"/>
  <c r="I15" i="18"/>
  <c r="B16" i="18"/>
  <c r="C16" i="18"/>
  <c r="D16" i="18"/>
  <c r="E16" i="18"/>
  <c r="F16" i="18"/>
  <c r="G16" i="18"/>
  <c r="H16" i="18"/>
  <c r="I16" i="18"/>
  <c r="B17" i="18"/>
  <c r="C17" i="18"/>
  <c r="D17" i="18"/>
  <c r="E17" i="18"/>
  <c r="F17" i="18"/>
  <c r="G17" i="18"/>
  <c r="H17" i="18"/>
  <c r="I17" i="18"/>
  <c r="B18" i="18"/>
  <c r="C18" i="18"/>
  <c r="D18" i="18"/>
  <c r="E18" i="18"/>
  <c r="F18" i="18"/>
  <c r="G18" i="18"/>
  <c r="H18" i="18"/>
  <c r="I18" i="18"/>
  <c r="B19" i="18"/>
  <c r="C19" i="18"/>
  <c r="D19" i="18"/>
  <c r="E19" i="18"/>
  <c r="F19" i="18"/>
  <c r="G19" i="18"/>
  <c r="H19" i="18"/>
  <c r="I19" i="18"/>
  <c r="B20" i="18"/>
  <c r="C20" i="18"/>
  <c r="D20" i="18"/>
  <c r="E20" i="18"/>
  <c r="F20" i="18"/>
  <c r="G20" i="18"/>
  <c r="H20" i="18"/>
  <c r="I20" i="18"/>
  <c r="B21" i="18"/>
  <c r="C21" i="18"/>
  <c r="D21" i="18"/>
  <c r="E21" i="18"/>
  <c r="F21" i="18"/>
  <c r="G21" i="18"/>
  <c r="H21" i="18"/>
  <c r="I21" i="18"/>
  <c r="B22" i="18"/>
  <c r="C22" i="18"/>
  <c r="D22" i="18"/>
  <c r="E22" i="18"/>
  <c r="F22" i="18"/>
  <c r="G22" i="18"/>
  <c r="H22" i="18"/>
  <c r="I22" i="18"/>
  <c r="B23" i="18"/>
  <c r="C23" i="18"/>
  <c r="D23" i="18"/>
  <c r="E23" i="18"/>
  <c r="F23" i="18"/>
  <c r="G23" i="18"/>
  <c r="H23" i="18"/>
  <c r="I23" i="18"/>
  <c r="B24" i="18"/>
  <c r="C24" i="18"/>
  <c r="D24" i="18"/>
  <c r="E24" i="18"/>
  <c r="F24" i="18"/>
  <c r="G24" i="18"/>
  <c r="H24" i="18"/>
  <c r="I24" i="18"/>
  <c r="B25" i="18"/>
  <c r="C25" i="18"/>
  <c r="D25" i="18"/>
  <c r="E25" i="18"/>
  <c r="F25" i="18"/>
  <c r="G25" i="18"/>
  <c r="H25" i="18"/>
  <c r="I25" i="18"/>
  <c r="B26" i="18"/>
  <c r="C26" i="18"/>
  <c r="D26" i="18"/>
  <c r="E26" i="18"/>
  <c r="F26" i="18"/>
  <c r="G26" i="18"/>
  <c r="H26" i="18"/>
  <c r="I26" i="18"/>
  <c r="B27" i="18"/>
  <c r="C27" i="18"/>
  <c r="D27" i="18"/>
  <c r="E27" i="18"/>
  <c r="F27" i="18"/>
  <c r="G27" i="18"/>
  <c r="H27" i="18"/>
  <c r="I27" i="18"/>
  <c r="B28" i="18"/>
  <c r="C28" i="18"/>
  <c r="D28" i="18"/>
  <c r="E28" i="18"/>
  <c r="F28" i="18"/>
  <c r="G28" i="18"/>
  <c r="H28" i="18"/>
  <c r="I28" i="18"/>
  <c r="B29" i="18"/>
  <c r="C29" i="18"/>
  <c r="D29" i="18"/>
  <c r="E29" i="18"/>
  <c r="F29" i="18"/>
  <c r="G29" i="18"/>
  <c r="H29" i="18"/>
  <c r="I29" i="18"/>
  <c r="B30" i="18"/>
  <c r="C30" i="18"/>
  <c r="D30" i="18"/>
  <c r="E30" i="18"/>
  <c r="F30" i="18"/>
  <c r="G30" i="18"/>
  <c r="H30" i="18"/>
  <c r="I30" i="18"/>
  <c r="B31" i="18"/>
  <c r="C31" i="18"/>
  <c r="D31" i="18"/>
  <c r="E31" i="18"/>
  <c r="F31" i="18"/>
  <c r="G31" i="18"/>
  <c r="H31" i="18"/>
  <c r="I31" i="18"/>
  <c r="B32" i="18"/>
  <c r="C32" i="18"/>
  <c r="D32" i="18"/>
  <c r="E32" i="18"/>
  <c r="F32" i="18"/>
  <c r="G32" i="18"/>
  <c r="H32" i="18"/>
  <c r="I32" i="18"/>
  <c r="B33" i="18"/>
  <c r="C33" i="18"/>
  <c r="D33" i="18"/>
  <c r="E33" i="18"/>
  <c r="F33" i="18"/>
  <c r="G33" i="18"/>
  <c r="H33" i="18"/>
  <c r="I33" i="18"/>
  <c r="B34" i="18"/>
  <c r="C34" i="18"/>
  <c r="D34" i="18"/>
  <c r="E34" i="18"/>
  <c r="F34" i="18"/>
  <c r="G34" i="18"/>
  <c r="H34" i="18"/>
  <c r="I34" i="18"/>
  <c r="B35" i="18"/>
  <c r="C35" i="18"/>
  <c r="D35" i="18"/>
  <c r="E35" i="18"/>
  <c r="F35" i="18"/>
  <c r="G35" i="18"/>
  <c r="H35" i="18"/>
  <c r="I35" i="18"/>
  <c r="B36" i="18"/>
  <c r="C36" i="18"/>
  <c r="D36" i="18"/>
  <c r="E36" i="18"/>
  <c r="F36" i="18"/>
  <c r="G36" i="18"/>
  <c r="H36" i="18"/>
  <c r="I36" i="18"/>
  <c r="B37" i="18"/>
  <c r="C37" i="18"/>
  <c r="D37" i="18"/>
  <c r="E37" i="18"/>
  <c r="F37" i="18"/>
  <c r="G37" i="18"/>
  <c r="H37" i="18"/>
  <c r="I37" i="18"/>
  <c r="B38" i="18"/>
  <c r="C38" i="18"/>
  <c r="D38" i="18"/>
  <c r="E38" i="18"/>
  <c r="F38" i="18"/>
  <c r="G38" i="18"/>
  <c r="H38" i="18"/>
  <c r="I38" i="18"/>
  <c r="B39" i="18"/>
  <c r="C39" i="18"/>
  <c r="D39" i="18"/>
  <c r="E39" i="18"/>
  <c r="F39" i="18"/>
  <c r="G39" i="18"/>
  <c r="H39" i="18"/>
  <c r="I39" i="18"/>
  <c r="B40" i="18"/>
  <c r="C40" i="18"/>
  <c r="D40" i="18"/>
  <c r="E40" i="18"/>
  <c r="F40" i="18"/>
  <c r="G40" i="18"/>
  <c r="H40" i="18"/>
  <c r="I40" i="18"/>
  <c r="B41" i="18"/>
  <c r="C41" i="18"/>
  <c r="D41" i="18"/>
  <c r="E41" i="18"/>
  <c r="F41" i="18"/>
  <c r="G41" i="18"/>
  <c r="H41" i="18"/>
  <c r="I41" i="18"/>
  <c r="B42" i="18"/>
  <c r="C42" i="18"/>
  <c r="D42" i="18"/>
  <c r="E42" i="18"/>
  <c r="F42" i="18"/>
  <c r="G42" i="18"/>
  <c r="H42" i="18"/>
  <c r="I42" i="18"/>
  <c r="B43" i="18"/>
  <c r="C43" i="18"/>
  <c r="D43" i="18"/>
  <c r="E43" i="18"/>
  <c r="F43" i="18"/>
  <c r="G43" i="18"/>
  <c r="H43" i="18"/>
  <c r="I43" i="18"/>
  <c r="B44" i="18"/>
  <c r="C44" i="18"/>
  <c r="D44" i="18"/>
  <c r="E44" i="18"/>
  <c r="F44" i="18"/>
  <c r="G44" i="18"/>
  <c r="H44" i="18"/>
  <c r="I44" i="18"/>
  <c r="B45" i="18"/>
  <c r="C45" i="18"/>
  <c r="D45" i="18"/>
  <c r="E45" i="18"/>
  <c r="F45" i="18"/>
  <c r="G45" i="18"/>
  <c r="H45" i="18"/>
  <c r="I45" i="18"/>
  <c r="B46" i="18"/>
  <c r="C46" i="18"/>
  <c r="D46" i="18"/>
  <c r="E46" i="18"/>
  <c r="F46" i="18"/>
  <c r="G46" i="18"/>
  <c r="H46" i="18"/>
  <c r="I46" i="18"/>
  <c r="B47" i="18"/>
  <c r="C47" i="18"/>
  <c r="D47" i="18"/>
  <c r="E47" i="18"/>
  <c r="F47" i="18"/>
  <c r="G47" i="18"/>
  <c r="H47" i="18"/>
  <c r="I47" i="18"/>
  <c r="B48" i="18"/>
  <c r="C48" i="18"/>
  <c r="D48" i="18"/>
  <c r="E48" i="18"/>
  <c r="F48" i="18"/>
  <c r="G48" i="18"/>
  <c r="H48" i="18"/>
  <c r="I48" i="18"/>
  <c r="B49" i="18"/>
  <c r="C49" i="18"/>
  <c r="D49" i="18"/>
  <c r="E49" i="18"/>
  <c r="F49" i="18"/>
  <c r="G49" i="18"/>
  <c r="H49" i="18"/>
  <c r="I49" i="18"/>
  <c r="B50" i="18"/>
  <c r="C50" i="18"/>
  <c r="D50" i="18"/>
  <c r="E50" i="18"/>
  <c r="F50" i="18"/>
  <c r="G50" i="18"/>
  <c r="H50" i="18"/>
  <c r="I50" i="18"/>
  <c r="I3" i="18"/>
  <c r="E3" i="18"/>
  <c r="C3" i="18"/>
  <c r="B3" i="18"/>
  <c r="D3" i="18"/>
  <c r="A8" i="17" l="1" a="1"/>
  <c r="A8" i="17" s="1"/>
  <c r="B8" i="17" a="1"/>
  <c r="B8" i="17" s="1"/>
  <c r="C8" i="17" a="1"/>
  <c r="C8" i="17" s="1"/>
  <c r="D8" i="17" a="1"/>
  <c r="D8" i="17" s="1"/>
  <c r="E8" i="17" a="1"/>
  <c r="E8" i="17" s="1"/>
  <c r="A9" i="17" a="1"/>
  <c r="A9" i="17" s="1"/>
  <c r="B9" i="17" a="1"/>
  <c r="B9" i="17" s="1"/>
  <c r="C9" i="17" a="1"/>
  <c r="C9" i="17" s="1"/>
  <c r="D9" i="17" a="1"/>
  <c r="D9" i="17" s="1"/>
  <c r="E9" i="17" a="1"/>
  <c r="E9" i="17" s="1"/>
  <c r="A10" i="17" a="1"/>
  <c r="A10" i="17" s="1"/>
  <c r="B10" i="17" a="1"/>
  <c r="B10" i="17" s="1"/>
  <c r="C10" i="17" a="1"/>
  <c r="C10" i="17" s="1"/>
  <c r="D10" i="17" a="1"/>
  <c r="D10" i="17" s="1"/>
  <c r="E10" i="17" a="1"/>
  <c r="E10" i="17" s="1"/>
  <c r="A11" i="17" a="1"/>
  <c r="A11" i="17" s="1"/>
  <c r="B11" i="17" a="1"/>
  <c r="B11" i="17" s="1"/>
  <c r="C11" i="17" a="1"/>
  <c r="C11" i="17" s="1"/>
  <c r="D11" i="17" a="1"/>
  <c r="D11" i="17" s="1"/>
  <c r="E11" i="17" a="1"/>
  <c r="E11" i="17" s="1"/>
  <c r="A12" i="17" a="1"/>
  <c r="A12" i="17" s="1"/>
  <c r="B12" i="17" a="1"/>
  <c r="B12" i="17" s="1"/>
  <c r="C12" i="17" a="1"/>
  <c r="C12" i="17" s="1"/>
  <c r="D12" i="17" a="1"/>
  <c r="D12" i="17" s="1"/>
  <c r="E12" i="17" a="1"/>
  <c r="E12" i="17" s="1"/>
  <c r="A13" i="17" a="1"/>
  <c r="A13" i="17" s="1"/>
  <c r="B13" i="17" a="1"/>
  <c r="B13" i="17" s="1"/>
  <c r="C13" i="17" a="1"/>
  <c r="C13" i="17" s="1"/>
  <c r="D13" i="17" a="1"/>
  <c r="D13" i="17" s="1"/>
  <c r="E13" i="17" a="1"/>
  <c r="E13" i="17" s="1"/>
  <c r="A14" i="17" a="1"/>
  <c r="A14" i="17" s="1"/>
  <c r="B14" i="17" a="1"/>
  <c r="B14" i="17" s="1"/>
  <c r="C14" i="17" a="1"/>
  <c r="C14" i="17" s="1"/>
  <c r="D14" i="17" a="1"/>
  <c r="D14" i="17" s="1"/>
  <c r="E14" i="17" a="1"/>
  <c r="E14" i="17" s="1"/>
  <c r="A15" i="17" a="1"/>
  <c r="A15" i="17" s="1"/>
  <c r="B15" i="17" a="1"/>
  <c r="B15" i="17" s="1"/>
  <c r="C15" i="17" a="1"/>
  <c r="C15" i="17" s="1"/>
  <c r="D15" i="17" a="1"/>
  <c r="D15" i="17" s="1"/>
  <c r="E15" i="17" a="1"/>
  <c r="E15" i="17" s="1"/>
  <c r="A16" i="17" a="1"/>
  <c r="A16" i="17" s="1"/>
  <c r="B16" i="17" a="1"/>
  <c r="B16" i="17" s="1"/>
  <c r="C16" i="17" a="1"/>
  <c r="C16" i="17" s="1"/>
  <c r="D16" i="17" a="1"/>
  <c r="D16" i="17" s="1"/>
  <c r="E16" i="17" a="1"/>
  <c r="E16" i="17" s="1"/>
  <c r="A17" i="17" a="1"/>
  <c r="A17" i="17" s="1"/>
  <c r="B17" i="17" a="1"/>
  <c r="B17" i="17" s="1"/>
  <c r="C17" i="17" a="1"/>
  <c r="C17" i="17" s="1"/>
  <c r="D17" i="17" a="1"/>
  <c r="D17" i="17" s="1"/>
  <c r="E17" i="17" a="1"/>
  <c r="E17" i="17" s="1"/>
  <c r="A18" i="17" a="1"/>
  <c r="A18" i="17" s="1"/>
  <c r="B18" i="17" a="1"/>
  <c r="B18" i="17" s="1"/>
  <c r="C18" i="17" a="1"/>
  <c r="C18" i="17" s="1"/>
  <c r="D18" i="17" a="1"/>
  <c r="D18" i="17" s="1"/>
  <c r="E18" i="17" a="1"/>
  <c r="E18" i="17" s="1"/>
  <c r="A19" i="17" a="1"/>
  <c r="A19" i="17" s="1"/>
  <c r="B19" i="17" a="1"/>
  <c r="B19" i="17" s="1"/>
  <c r="C19" i="17" a="1"/>
  <c r="C19" i="17" s="1"/>
  <c r="D19" i="17" a="1"/>
  <c r="D19" i="17" s="1"/>
  <c r="E19" i="17" a="1"/>
  <c r="E19" i="17" s="1"/>
  <c r="A20" i="17" a="1"/>
  <c r="A20" i="17" s="1"/>
  <c r="B20" i="17" a="1"/>
  <c r="B20" i="17" s="1"/>
  <c r="C20" i="17" a="1"/>
  <c r="C20" i="17" s="1"/>
  <c r="D20" i="17" a="1"/>
  <c r="D20" i="17" s="1"/>
  <c r="E20" i="17" a="1"/>
  <c r="E20" i="17" s="1"/>
  <c r="A21" i="17" a="1"/>
  <c r="A21" i="17" s="1"/>
  <c r="B21" i="17" a="1"/>
  <c r="B21" i="17" s="1"/>
  <c r="C21" i="17" a="1"/>
  <c r="C21" i="17" s="1"/>
  <c r="D21" i="17" a="1"/>
  <c r="D21" i="17" s="1"/>
  <c r="E21" i="17" a="1"/>
  <c r="E21" i="17" s="1"/>
  <c r="A22" i="17" a="1"/>
  <c r="A22" i="17" s="1"/>
  <c r="B22" i="17" a="1"/>
  <c r="B22" i="17" s="1"/>
  <c r="C22" i="17" a="1"/>
  <c r="C22" i="17" s="1"/>
  <c r="D22" i="17" a="1"/>
  <c r="D22" i="17" s="1"/>
  <c r="E22" i="17" a="1"/>
  <c r="E22" i="17" s="1"/>
  <c r="A23" i="17" a="1"/>
  <c r="A23" i="17" s="1"/>
  <c r="B23" i="17" a="1"/>
  <c r="B23" i="17" s="1"/>
  <c r="C23" i="17" a="1"/>
  <c r="C23" i="17" s="1"/>
  <c r="D23" i="17" a="1"/>
  <c r="D23" i="17" s="1"/>
  <c r="E23" i="17" a="1"/>
  <c r="E23" i="17" s="1"/>
  <c r="A24" i="17" a="1"/>
  <c r="A24" i="17" s="1"/>
  <c r="B24" i="17" a="1"/>
  <c r="B24" i="17" s="1"/>
  <c r="C24" i="17" a="1"/>
  <c r="C24" i="17" s="1"/>
  <c r="D24" i="17" a="1"/>
  <c r="D24" i="17" s="1"/>
  <c r="E24" i="17" a="1"/>
  <c r="E24" i="17" s="1"/>
  <c r="A25" i="17" a="1"/>
  <c r="A25" i="17" s="1"/>
  <c r="B25" i="17" a="1"/>
  <c r="B25" i="17" s="1"/>
  <c r="C25" i="17" a="1"/>
  <c r="C25" i="17" s="1"/>
  <c r="D25" i="17" a="1"/>
  <c r="D25" i="17" s="1"/>
  <c r="E25" i="17" a="1"/>
  <c r="E25" i="17" s="1"/>
  <c r="A26" i="17" a="1"/>
  <c r="A26" i="17" s="1"/>
  <c r="B26" i="17" a="1"/>
  <c r="B26" i="17" s="1"/>
  <c r="C26" i="17" a="1"/>
  <c r="C26" i="17" s="1"/>
  <c r="D26" i="17" a="1"/>
  <c r="D26" i="17" s="1"/>
  <c r="E26" i="17" a="1"/>
  <c r="E26" i="17" s="1"/>
  <c r="A27" i="17" a="1"/>
  <c r="A27" i="17" s="1"/>
  <c r="B27" i="17" a="1"/>
  <c r="B27" i="17" s="1"/>
  <c r="C27" i="17" a="1"/>
  <c r="C27" i="17" s="1"/>
  <c r="D27" i="17" a="1"/>
  <c r="D27" i="17" s="1"/>
  <c r="E27" i="17" a="1"/>
  <c r="E27" i="17" s="1"/>
  <c r="A28" i="17" a="1"/>
  <c r="A28" i="17" s="1"/>
  <c r="B28" i="17" a="1"/>
  <c r="B28" i="17" s="1"/>
  <c r="C28" i="17" a="1"/>
  <c r="C28" i="17" s="1"/>
  <c r="D28" i="17" a="1"/>
  <c r="D28" i="17" s="1"/>
  <c r="E28" i="17" a="1"/>
  <c r="E28" i="17" s="1"/>
  <c r="A29" i="17" a="1"/>
  <c r="A29" i="17" s="1"/>
  <c r="B29" i="17" a="1"/>
  <c r="B29" i="17" s="1"/>
  <c r="C29" i="17" a="1"/>
  <c r="C29" i="17" s="1"/>
  <c r="D29" i="17" a="1"/>
  <c r="D29" i="17" s="1"/>
  <c r="E29" i="17" a="1"/>
  <c r="E29" i="17" s="1"/>
  <c r="A30" i="17" a="1"/>
  <c r="A30" i="17" s="1"/>
  <c r="B30" i="17" a="1"/>
  <c r="B30" i="17" s="1"/>
  <c r="C30" i="17" a="1"/>
  <c r="C30" i="17" s="1"/>
  <c r="D30" i="17" a="1"/>
  <c r="D30" i="17" s="1"/>
  <c r="E30" i="17" a="1"/>
  <c r="E30" i="17" s="1"/>
  <c r="A31" i="17" a="1"/>
  <c r="A31" i="17" s="1"/>
  <c r="B31" i="17" a="1"/>
  <c r="B31" i="17" s="1"/>
  <c r="C31" i="17" a="1"/>
  <c r="C31" i="17" s="1"/>
  <c r="D31" i="17" a="1"/>
  <c r="D31" i="17" s="1"/>
  <c r="E31" i="17" a="1"/>
  <c r="E31" i="17" s="1"/>
  <c r="A32" i="17" a="1"/>
  <c r="A32" i="17" s="1"/>
  <c r="B32" i="17" a="1"/>
  <c r="B32" i="17" s="1"/>
  <c r="C32" i="17" a="1"/>
  <c r="C32" i="17" s="1"/>
  <c r="D32" i="17" a="1"/>
  <c r="D32" i="17" s="1"/>
  <c r="E32" i="17" a="1"/>
  <c r="E32" i="17" s="1"/>
  <c r="A33" i="17" a="1"/>
  <c r="A33" i="17" s="1"/>
  <c r="B33" i="17" a="1"/>
  <c r="B33" i="17" s="1"/>
  <c r="C33" i="17" a="1"/>
  <c r="C33" i="17" s="1"/>
  <c r="D33" i="17" a="1"/>
  <c r="D33" i="17" s="1"/>
  <c r="E33" i="17" a="1"/>
  <c r="E33" i="17" s="1"/>
  <c r="A34" i="17" a="1"/>
  <c r="A34" i="17" s="1"/>
  <c r="B34" i="17" a="1"/>
  <c r="B34" i="17" s="1"/>
  <c r="C34" i="17" a="1"/>
  <c r="C34" i="17" s="1"/>
  <c r="D34" i="17" a="1"/>
  <c r="D34" i="17" s="1"/>
  <c r="E34" i="17" a="1"/>
  <c r="E34" i="17" s="1"/>
  <c r="A35" i="17" a="1"/>
  <c r="A35" i="17" s="1"/>
  <c r="B35" i="17" a="1"/>
  <c r="B35" i="17" s="1"/>
  <c r="C35" i="17" a="1"/>
  <c r="C35" i="17" s="1"/>
  <c r="D35" i="17" a="1"/>
  <c r="D35" i="17" s="1"/>
  <c r="E35" i="17" a="1"/>
  <c r="E35" i="17" s="1"/>
  <c r="A36" i="17" a="1"/>
  <c r="A36" i="17" s="1"/>
  <c r="B36" i="17" a="1"/>
  <c r="B36" i="17" s="1"/>
  <c r="C36" i="17" a="1"/>
  <c r="C36" i="17" s="1"/>
  <c r="D36" i="17" a="1"/>
  <c r="D36" i="17" s="1"/>
  <c r="E36" i="17" a="1"/>
  <c r="E36" i="17" s="1"/>
  <c r="A37" i="17" a="1"/>
  <c r="A37" i="17" s="1"/>
  <c r="B37" i="17" a="1"/>
  <c r="B37" i="17" s="1"/>
  <c r="C37" i="17" a="1"/>
  <c r="C37" i="17" s="1"/>
  <c r="D37" i="17" a="1"/>
  <c r="D37" i="17" s="1"/>
  <c r="E37" i="17" a="1"/>
  <c r="E37" i="17" s="1"/>
  <c r="A38" i="17" a="1"/>
  <c r="A38" i="17" s="1"/>
  <c r="B38" i="17" a="1"/>
  <c r="B38" i="17" s="1"/>
  <c r="C38" i="17" a="1"/>
  <c r="C38" i="17" s="1"/>
  <c r="D38" i="17" a="1"/>
  <c r="D38" i="17" s="1"/>
  <c r="E38" i="17" a="1"/>
  <c r="E38" i="17" s="1"/>
  <c r="A39" i="17" a="1"/>
  <c r="A39" i="17" s="1"/>
  <c r="B39" i="17" a="1"/>
  <c r="B39" i="17" s="1"/>
  <c r="C39" i="17" a="1"/>
  <c r="C39" i="17" s="1"/>
  <c r="D39" i="17" a="1"/>
  <c r="D39" i="17" s="1"/>
  <c r="E39" i="17" a="1"/>
  <c r="E39" i="17" s="1"/>
  <c r="E7" i="17" a="1"/>
  <c r="E7" i="17" s="1"/>
  <c r="D7" i="17" a="1"/>
  <c r="D7" i="17" s="1"/>
  <c r="C7" i="17" a="1"/>
  <c r="C7" i="17" s="1"/>
  <c r="B7" i="17" a="1"/>
  <c r="B7" i="17" s="1"/>
  <c r="A7" i="17" a="1"/>
  <c r="A7" i="17" s="1"/>
  <c r="F6" i="34"/>
  <c r="D6" i="34"/>
  <c r="C193" i="40"/>
  <c r="C194" i="40"/>
  <c r="C192" i="40"/>
  <c r="C221" i="41"/>
  <c r="D183" i="41"/>
  <c r="D182" i="41"/>
  <c r="D181" i="41"/>
  <c r="D180" i="41"/>
  <c r="D179" i="41"/>
  <c r="D178" i="41"/>
  <c r="D176" i="41"/>
  <c r="D175" i="41"/>
  <c r="D174" i="41"/>
  <c r="D173" i="41"/>
  <c r="D172" i="41"/>
  <c r="D171" i="41"/>
  <c r="D170" i="41"/>
  <c r="D169" i="41"/>
  <c r="D168" i="41"/>
  <c r="D167" i="41"/>
  <c r="D166" i="41"/>
  <c r="D165" i="41"/>
  <c r="D164" i="41"/>
  <c r="D163" i="41"/>
  <c r="D162" i="41"/>
  <c r="D161" i="41"/>
  <c r="D160" i="41"/>
  <c r="D158" i="41"/>
  <c r="D157" i="41"/>
  <c r="D156" i="41"/>
  <c r="D155" i="41"/>
  <c r="D154" i="41"/>
  <c r="D153" i="41"/>
  <c r="D152" i="41"/>
  <c r="D151" i="41"/>
  <c r="D150" i="41"/>
  <c r="D129" i="41"/>
  <c r="D128" i="41"/>
  <c r="D127" i="41"/>
  <c r="D126" i="41"/>
  <c r="D125" i="41"/>
  <c r="D124" i="41"/>
  <c r="D123" i="41"/>
  <c r="D122" i="41"/>
  <c r="D121" i="41"/>
  <c r="D120" i="41"/>
  <c r="D119" i="41"/>
  <c r="D118" i="41"/>
  <c r="D117" i="41"/>
  <c r="D116" i="41"/>
  <c r="D115" i="41"/>
  <c r="D114" i="41"/>
  <c r="D113" i="41"/>
  <c r="D112" i="41"/>
  <c r="D111" i="41"/>
  <c r="D110" i="41"/>
  <c r="D109" i="41"/>
  <c r="D105" i="41"/>
  <c r="D103" i="41"/>
  <c r="D74" i="41"/>
  <c r="F39" i="17" l="1"/>
  <c r="G39" i="17"/>
  <c r="F38" i="17"/>
  <c r="G38" i="17"/>
  <c r="F37" i="17"/>
  <c r="G37" i="17"/>
  <c r="F36" i="17"/>
  <c r="G36" i="17"/>
  <c r="F35" i="17"/>
  <c r="G35" i="17"/>
  <c r="F34" i="17"/>
  <c r="G34" i="17"/>
  <c r="F33" i="17"/>
  <c r="G33" i="17"/>
  <c r="F32" i="17"/>
  <c r="G32" i="17"/>
  <c r="F31" i="17"/>
  <c r="G31" i="17"/>
  <c r="F30" i="17"/>
  <c r="G30" i="17"/>
  <c r="F29" i="17"/>
  <c r="G29" i="17"/>
  <c r="F28" i="17"/>
  <c r="G28" i="17"/>
  <c r="F27" i="17"/>
  <c r="G27" i="17"/>
  <c r="F26" i="17"/>
  <c r="G26" i="17"/>
  <c r="F25" i="17"/>
  <c r="G25" i="17"/>
  <c r="F24" i="17"/>
  <c r="G24" i="17"/>
  <c r="F23" i="17"/>
  <c r="G23" i="17"/>
  <c r="F22" i="17"/>
  <c r="G22" i="17"/>
  <c r="F21" i="17"/>
  <c r="G21" i="17"/>
  <c r="F20" i="17"/>
  <c r="G20" i="17"/>
  <c r="F19" i="17"/>
  <c r="G19" i="17"/>
  <c r="F18" i="17"/>
  <c r="G18" i="17"/>
  <c r="F17" i="17"/>
  <c r="G17" i="17"/>
  <c r="F16" i="17"/>
  <c r="G16" i="17"/>
  <c r="F15" i="17"/>
  <c r="G15" i="17"/>
  <c r="F14" i="17"/>
  <c r="G14" i="17"/>
  <c r="F13" i="17"/>
  <c r="G13" i="17"/>
  <c r="F12" i="17"/>
  <c r="G12" i="17"/>
  <c r="F11" i="17"/>
  <c r="G11" i="17"/>
  <c r="F10" i="17"/>
  <c r="G10" i="17"/>
  <c r="F9" i="17"/>
  <c r="G9" i="17"/>
  <c r="F8" i="17"/>
  <c r="G8" i="17"/>
  <c r="V30" i="34"/>
  <c r="V31" i="34"/>
  <c r="V32" i="34"/>
  <c r="V33" i="34"/>
  <c r="V34" i="34"/>
  <c r="V35" i="34"/>
  <c r="V36" i="34"/>
  <c r="V37" i="34"/>
  <c r="V38" i="34"/>
  <c r="V39" i="34"/>
  <c r="V40" i="34"/>
  <c r="V41" i="34"/>
  <c r="V42" i="34"/>
  <c r="V43" i="34"/>
  <c r="V44" i="34"/>
  <c r="V45" i="34"/>
  <c r="V46" i="34"/>
  <c r="V47" i="34"/>
  <c r="V48" i="34"/>
  <c r="V49" i="34"/>
  <c r="V28" i="34"/>
  <c r="V29" i="34"/>
  <c r="V27" i="34"/>
  <c r="C12" i="34"/>
  <c r="C13" i="34"/>
  <c r="C14" i="34"/>
  <c r="C11" i="34"/>
  <c r="C10" i="34"/>
  <c r="F5" i="2"/>
  <c r="F6" i="2"/>
  <c r="F7" i="2"/>
  <c r="F8" i="2"/>
  <c r="F9"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H5" i="2"/>
  <c r="H6" i="2"/>
  <c r="H7" i="2"/>
  <c r="H8" i="2"/>
  <c r="H9" i="2"/>
  <c r="H10" i="2"/>
  <c r="H11" i="2"/>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G5" i="2"/>
  <c r="G6" i="2"/>
  <c r="G7" i="2"/>
  <c r="G8" i="2"/>
  <c r="G9" i="2"/>
  <c r="G10" i="2"/>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E51" i="18"/>
  <c r="E52" i="18"/>
  <c r="E53" i="18"/>
  <c r="E54" i="18"/>
  <c r="E55" i="18"/>
  <c r="E56" i="18"/>
  <c r="E57" i="18"/>
  <c r="R52" i="18"/>
  <c r="R53" i="18"/>
  <c r="R54" i="18"/>
  <c r="R55" i="18"/>
  <c r="R56" i="18"/>
  <c r="R57" i="18"/>
  <c r="R51" i="18"/>
  <c r="R60" i="10"/>
  <c r="R61" i="10"/>
  <c r="R62" i="10"/>
  <c r="R63" i="10"/>
  <c r="R64" i="10"/>
  <c r="R65" i="10"/>
  <c r="R59" i="10"/>
  <c r="X24" i="34"/>
  <c r="X23" i="34"/>
  <c r="X22" i="34"/>
  <c r="X21" i="34"/>
  <c r="X20" i="34"/>
  <c r="X19" i="34"/>
  <c r="X18" i="34"/>
  <c r="X17" i="34"/>
  <c r="X16" i="34"/>
  <c r="X15" i="34"/>
  <c r="X14" i="34"/>
  <c r="X13" i="34"/>
  <c r="X12" i="34"/>
  <c r="X11" i="34"/>
  <c r="X10" i="34"/>
  <c r="X9" i="34"/>
  <c r="Z9" i="34" s="1"/>
  <c r="X8" i="34"/>
  <c r="X7" i="34"/>
  <c r="Z7" i="34" s="1"/>
  <c r="X6" i="34"/>
  <c r="Z6" i="34" s="1"/>
  <c r="X5" i="34"/>
  <c r="Z5" i="34" s="1"/>
  <c r="X4" i="34"/>
  <c r="Z4" i="34" s="1"/>
  <c r="C3" i="37"/>
  <c r="C4" i="37"/>
  <c r="C5" i="37"/>
  <c r="C6" i="37"/>
  <c r="C7" i="37"/>
  <c r="C8" i="37"/>
  <c r="C9" i="37"/>
  <c r="C10" i="37"/>
  <c r="C11" i="37"/>
  <c r="C12" i="37"/>
  <c r="C13" i="37"/>
  <c r="C14" i="37"/>
  <c r="C15" i="37"/>
  <c r="C16" i="37"/>
  <c r="C17" i="37"/>
  <c r="C18" i="37"/>
  <c r="C19" i="37"/>
  <c r="C20" i="37"/>
  <c r="C21" i="37"/>
  <c r="C22" i="37"/>
  <c r="C23" i="37"/>
  <c r="C24" i="37"/>
  <c r="C25" i="37"/>
  <c r="C26" i="37"/>
  <c r="C27" i="37"/>
  <c r="C28" i="37"/>
  <c r="C29" i="37"/>
  <c r="C30" i="37"/>
  <c r="C31" i="37"/>
  <c r="C32" i="37"/>
  <c r="C33" i="37"/>
  <c r="C34" i="37"/>
  <c r="C35" i="37"/>
  <c r="C36" i="37"/>
  <c r="C37" i="37"/>
  <c r="C38" i="37"/>
  <c r="C39" i="37"/>
  <c r="C40" i="37"/>
  <c r="C41" i="37"/>
  <c r="C42" i="37"/>
  <c r="C43" i="37"/>
  <c r="C44" i="37"/>
  <c r="C45" i="37"/>
  <c r="C46" i="37"/>
  <c r="C47" i="37"/>
  <c r="C48" i="37"/>
  <c r="C49" i="37"/>
  <c r="C50" i="37"/>
  <c r="C51" i="37"/>
  <c r="C52" i="37"/>
  <c r="C53" i="37"/>
  <c r="C54" i="37"/>
  <c r="C55" i="37"/>
  <c r="C56" i="37"/>
  <c r="C2" i="37"/>
  <c r="B56" i="37"/>
  <c r="Y8" i="34" l="1"/>
  <c r="Z8" i="34"/>
  <c r="Y10" i="34"/>
  <c r="Z10" i="34"/>
  <c r="Y11" i="34"/>
  <c r="Z11" i="34"/>
  <c r="Y12" i="34"/>
  <c r="Z12" i="34"/>
  <c r="Y13" i="34"/>
  <c r="Z13" i="34"/>
  <c r="Y14" i="34"/>
  <c r="Z14" i="34"/>
  <c r="Y15" i="34"/>
  <c r="Z15" i="34"/>
  <c r="Y16" i="34"/>
  <c r="Z16" i="34"/>
  <c r="Y17" i="34"/>
  <c r="Z17" i="34"/>
  <c r="Y18" i="34"/>
  <c r="Z18" i="34"/>
  <c r="Y19" i="34"/>
  <c r="Z19" i="34"/>
  <c r="Y20" i="34"/>
  <c r="Z20" i="34"/>
  <c r="Y21" i="34"/>
  <c r="Z21" i="34"/>
  <c r="Y22" i="34"/>
  <c r="Z22" i="34"/>
  <c r="Y23" i="34"/>
  <c r="Z23" i="34"/>
  <c r="Y24" i="34"/>
  <c r="Z24" i="34"/>
  <c r="Y4" i="34"/>
  <c r="Y5" i="34"/>
  <c r="Y6" i="34"/>
  <c r="Y7" i="34"/>
  <c r="Y9" i="34"/>
  <c r="B3" i="37" l="1"/>
  <c r="B4" i="37"/>
  <c r="B5" i="37"/>
  <c r="B6" i="37"/>
  <c r="B7" i="37"/>
  <c r="B8" i="37"/>
  <c r="B9" i="37"/>
  <c r="B10" i="37"/>
  <c r="B11" i="37"/>
  <c r="B12" i="37"/>
  <c r="B13" i="37"/>
  <c r="B14" i="37"/>
  <c r="B15" i="37"/>
  <c r="B16" i="37"/>
  <c r="B17" i="37"/>
  <c r="B18" i="37"/>
  <c r="B19" i="37"/>
  <c r="B20" i="37"/>
  <c r="B21" i="37"/>
  <c r="B22" i="37"/>
  <c r="B23" i="37"/>
  <c r="B24" i="37"/>
  <c r="B25" i="37"/>
  <c r="B26" i="37"/>
  <c r="B27" i="37"/>
  <c r="B28" i="37"/>
  <c r="B29" i="37"/>
  <c r="B30" i="37"/>
  <c r="B31" i="37"/>
  <c r="B32" i="37"/>
  <c r="B33" i="37"/>
  <c r="B34" i="37"/>
  <c r="B35" i="37"/>
  <c r="B36" i="37"/>
  <c r="B37" i="37"/>
  <c r="B38" i="37"/>
  <c r="B39" i="37"/>
  <c r="B40" i="37"/>
  <c r="B41" i="37"/>
  <c r="B42" i="37"/>
  <c r="B43" i="37"/>
  <c r="B44" i="37"/>
  <c r="B45" i="37"/>
  <c r="B46" i="37"/>
  <c r="B47" i="37"/>
  <c r="B48" i="37"/>
  <c r="B49" i="37"/>
  <c r="B50" i="37"/>
  <c r="B51" i="37"/>
  <c r="B52" i="37"/>
  <c r="B53" i="37"/>
  <c r="B54" i="37"/>
  <c r="B55" i="37"/>
  <c r="B2" i="37"/>
  <c r="B49" i="3" l="1"/>
  <c r="B48" i="3"/>
  <c r="B47" i="3"/>
  <c r="B44" i="3"/>
  <c r="B36" i="3"/>
  <c r="B40" i="3"/>
  <c r="B38" i="3"/>
  <c r="B34" i="3"/>
  <c r="B31" i="3"/>
  <c r="D28" i="3"/>
  <c r="B29" i="3"/>
  <c r="G28" i="3"/>
  <c r="B27" i="3"/>
  <c r="B26" i="3"/>
  <c r="B24" i="3"/>
  <c r="B22" i="3"/>
  <c r="B16" i="3"/>
  <c r="D14" i="3"/>
  <c r="G14" i="3"/>
  <c r="B13" i="3"/>
  <c r="B12" i="3"/>
  <c r="B8" i="3" l="1"/>
  <c r="B7" i="3"/>
  <c r="B4" i="3"/>
  <c r="I4" i="10" l="1"/>
  <c r="I5" i="10"/>
  <c r="I6" i="10"/>
  <c r="I7" i="10"/>
  <c r="I8" i="10"/>
  <c r="I9" i="10"/>
  <c r="I10" i="10"/>
  <c r="I11" i="10"/>
  <c r="I12" i="10"/>
  <c r="I13" i="10"/>
  <c r="I14" i="10"/>
  <c r="I15" i="10"/>
  <c r="I16" i="10"/>
  <c r="I17" i="10"/>
  <c r="I18" i="10"/>
  <c r="I19" i="10"/>
  <c r="I20" i="10"/>
  <c r="I21" i="10"/>
  <c r="I22" i="10"/>
  <c r="I23" i="10"/>
  <c r="I24" i="10"/>
  <c r="I25" i="10"/>
  <c r="I26" i="10"/>
  <c r="I27" i="10"/>
  <c r="I28" i="10"/>
  <c r="I29" i="10"/>
  <c r="I30" i="10"/>
  <c r="I31" i="10"/>
  <c r="I32" i="10"/>
  <c r="I33" i="10"/>
  <c r="I34" i="10"/>
  <c r="I35" i="10"/>
  <c r="I36" i="10"/>
  <c r="I37" i="10"/>
  <c r="I38" i="10"/>
  <c r="I39" i="10"/>
  <c r="I40" i="10"/>
  <c r="I41" i="10"/>
  <c r="I42" i="10"/>
  <c r="I43" i="10"/>
  <c r="I44" i="10"/>
  <c r="I45" i="10"/>
  <c r="I46" i="10"/>
  <c r="I47" i="10"/>
  <c r="I48" i="10"/>
  <c r="I49" i="10"/>
  <c r="I50" i="10"/>
  <c r="I51" i="10"/>
  <c r="I52" i="10"/>
  <c r="I53" i="10"/>
  <c r="I54" i="10"/>
  <c r="I55" i="10"/>
  <c r="I56" i="10"/>
  <c r="I57" i="10"/>
  <c r="I58" i="10"/>
  <c r="E4" i="10"/>
  <c r="E5" i="10"/>
  <c r="E6" i="10"/>
  <c r="E7" i="10"/>
  <c r="E8" i="10"/>
  <c r="E9" i="10"/>
  <c r="E10" i="10"/>
  <c r="E11" i="10"/>
  <c r="E12" i="10"/>
  <c r="E13" i="10"/>
  <c r="E14" i="10"/>
  <c r="E15" i="10"/>
  <c r="E16" i="10"/>
  <c r="E17" i="10"/>
  <c r="E18" i="10"/>
  <c r="E19" i="10"/>
  <c r="E20" i="10"/>
  <c r="E21" i="10"/>
  <c r="E22" i="10"/>
  <c r="E23" i="10"/>
  <c r="E24" i="10"/>
  <c r="E25" i="10"/>
  <c r="E26" i="10"/>
  <c r="E27" i="10"/>
  <c r="E28" i="10"/>
  <c r="E29" i="10"/>
  <c r="E30" i="10"/>
  <c r="E31" i="10"/>
  <c r="E32" i="10"/>
  <c r="E33" i="10"/>
  <c r="E34" i="10"/>
  <c r="E35" i="10"/>
  <c r="E36" i="10"/>
  <c r="E37" i="10"/>
  <c r="E38" i="10"/>
  <c r="E39" i="10"/>
  <c r="E40" i="10"/>
  <c r="E41" i="10"/>
  <c r="E42" i="10"/>
  <c r="E43" i="10"/>
  <c r="E44" i="10"/>
  <c r="E45" i="10"/>
  <c r="E46" i="10"/>
  <c r="E47" i="10"/>
  <c r="E48" i="10"/>
  <c r="E49" i="10"/>
  <c r="E50" i="10"/>
  <c r="E51" i="10"/>
  <c r="E52" i="10"/>
  <c r="E53" i="10"/>
  <c r="E54" i="10"/>
  <c r="E55" i="10"/>
  <c r="E56" i="10"/>
  <c r="E57" i="10"/>
  <c r="E58" i="10"/>
  <c r="E59" i="10"/>
  <c r="E60" i="10"/>
  <c r="E61" i="10"/>
  <c r="E62" i="10"/>
  <c r="E63" i="10"/>
  <c r="E64" i="10"/>
  <c r="E65" i="10"/>
  <c r="B59" i="10"/>
  <c r="B60" i="10"/>
  <c r="B61" i="10"/>
  <c r="B62" i="10"/>
  <c r="B63" i="10"/>
  <c r="B64" i="10"/>
  <c r="B65" i="10"/>
  <c r="C4" i="10"/>
  <c r="C5" i="10"/>
  <c r="C6" i="10"/>
  <c r="C7" i="10"/>
  <c r="C8" i="10"/>
  <c r="C9" i="10"/>
  <c r="C10" i="10"/>
  <c r="C11" i="10"/>
  <c r="C12" i="10"/>
  <c r="C13" i="10"/>
  <c r="C14" i="10"/>
  <c r="C15" i="10"/>
  <c r="C16" i="10"/>
  <c r="C17" i="10"/>
  <c r="C18" i="10"/>
  <c r="C19" i="10"/>
  <c r="C20" i="10"/>
  <c r="C21" i="10"/>
  <c r="C22" i="10"/>
  <c r="C23" i="10"/>
  <c r="C24" i="10"/>
  <c r="C25" i="10"/>
  <c r="C26" i="10"/>
  <c r="C27" i="10"/>
  <c r="C28" i="10"/>
  <c r="C29" i="10"/>
  <c r="C30" i="10"/>
  <c r="C31" i="10"/>
  <c r="C32" i="10"/>
  <c r="C33" i="10"/>
  <c r="C34" i="10"/>
  <c r="C35" i="10"/>
  <c r="C36" i="10"/>
  <c r="C37" i="10"/>
  <c r="C38" i="10"/>
  <c r="C39" i="10"/>
  <c r="C40" i="10"/>
  <c r="C41" i="10"/>
  <c r="C42" i="10"/>
  <c r="C43" i="10"/>
  <c r="C44" i="10"/>
  <c r="C45" i="10"/>
  <c r="C46" i="10"/>
  <c r="C47" i="10"/>
  <c r="C48" i="10"/>
  <c r="C49" i="10"/>
  <c r="C50" i="10"/>
  <c r="C51" i="10"/>
  <c r="C52" i="10"/>
  <c r="C53" i="10"/>
  <c r="C54" i="10"/>
  <c r="C55" i="10"/>
  <c r="C56" i="10"/>
  <c r="C57" i="10"/>
  <c r="C58" i="10"/>
  <c r="C59" i="10"/>
  <c r="D59" i="10" s="1"/>
  <c r="C60" i="10"/>
  <c r="D60" i="10" s="1"/>
  <c r="C61" i="10"/>
  <c r="D61" i="10" s="1"/>
  <c r="C62" i="10"/>
  <c r="D62" i="10" s="1"/>
  <c r="C63" i="10"/>
  <c r="D63" i="10" s="1"/>
  <c r="C64" i="10"/>
  <c r="D64" i="10" s="1"/>
  <c r="C65" i="10"/>
  <c r="D65" i="10" s="1"/>
  <c r="B4" i="10"/>
  <c r="B5" i="10"/>
  <c r="B6" i="10"/>
  <c r="B7" i="10"/>
  <c r="B8" i="10"/>
  <c r="B9" i="10"/>
  <c r="B10" i="10"/>
  <c r="B11" i="10"/>
  <c r="B12" i="10"/>
  <c r="B13" i="10"/>
  <c r="B14" i="10"/>
  <c r="B15" i="10"/>
  <c r="B16" i="10"/>
  <c r="B17" i="10"/>
  <c r="B18" i="10"/>
  <c r="B19" i="10"/>
  <c r="B20" i="10"/>
  <c r="B21" i="10"/>
  <c r="B22" i="10"/>
  <c r="B23" i="10"/>
  <c r="B24" i="10"/>
  <c r="B25" i="10"/>
  <c r="B26" i="10"/>
  <c r="B27" i="10"/>
  <c r="B28" i="10"/>
  <c r="B29" i="10"/>
  <c r="B30" i="10"/>
  <c r="B31" i="10"/>
  <c r="B32" i="10"/>
  <c r="B33" i="10"/>
  <c r="B34" i="10"/>
  <c r="B35" i="10"/>
  <c r="B36" i="10"/>
  <c r="B37" i="10"/>
  <c r="B38" i="10"/>
  <c r="B39" i="10"/>
  <c r="B40" i="10"/>
  <c r="B41" i="10"/>
  <c r="B42" i="10"/>
  <c r="B43" i="10"/>
  <c r="B44" i="10"/>
  <c r="B45" i="10"/>
  <c r="B46" i="10"/>
  <c r="B47" i="10"/>
  <c r="B48" i="10"/>
  <c r="B49" i="10"/>
  <c r="B50" i="10"/>
  <c r="B51" i="10"/>
  <c r="B52" i="10"/>
  <c r="B53" i="10"/>
  <c r="B54" i="10"/>
  <c r="B55" i="10"/>
  <c r="B56" i="10"/>
  <c r="B57" i="10"/>
  <c r="B58" i="10"/>
  <c r="B57" i="2"/>
  <c r="B56" i="2"/>
  <c r="B55" i="2"/>
  <c r="B53" i="2"/>
  <c r="B51" i="2"/>
  <c r="B47" i="2"/>
  <c r="B46" i="2"/>
  <c r="B45" i="2"/>
  <c r="B44" i="2"/>
  <c r="B40" i="2"/>
  <c r="B38" i="2"/>
  <c r="D58" i="10" l="1"/>
  <c r="D57" i="10"/>
  <c r="D56" i="10"/>
  <c r="D55" i="10"/>
  <c r="D54" i="10"/>
  <c r="D53" i="10"/>
  <c r="D52" i="10"/>
  <c r="D51" i="10"/>
  <c r="D50" i="10"/>
  <c r="D49" i="10"/>
  <c r="D48" i="10"/>
  <c r="D46" i="10"/>
  <c r="D45" i="10"/>
  <c r="D44" i="10"/>
  <c r="D43" i="10"/>
  <c r="D42" i="10"/>
  <c r="D41" i="10"/>
  <c r="D40" i="10"/>
  <c r="D39" i="10"/>
  <c r="D38" i="10"/>
  <c r="D37" i="10"/>
  <c r="D36" i="10"/>
  <c r="D35" i="10"/>
  <c r="D34" i="10"/>
  <c r="D33" i="10"/>
  <c r="D32" i="10"/>
  <c r="D31" i="10"/>
  <c r="D30" i="10"/>
  <c r="D29" i="10"/>
  <c r="D28" i="10"/>
  <c r="D27" i="10"/>
  <c r="D26" i="10"/>
  <c r="D25" i="10"/>
  <c r="D24" i="10"/>
  <c r="D23" i="10"/>
  <c r="D22" i="10"/>
  <c r="D21" i="10"/>
  <c r="D20" i="10"/>
  <c r="D19" i="10"/>
  <c r="D18" i="10"/>
  <c r="D17" i="10"/>
  <c r="D16" i="10"/>
  <c r="D15" i="10"/>
  <c r="D14" i="10"/>
  <c r="D13" i="10"/>
  <c r="D12" i="10"/>
  <c r="D11" i="10"/>
  <c r="D10" i="10"/>
  <c r="D9" i="10"/>
  <c r="D8" i="10"/>
  <c r="D7" i="10"/>
  <c r="D6" i="10"/>
  <c r="D5" i="10"/>
  <c r="D4" i="10"/>
  <c r="F65" i="10"/>
  <c r="G65" i="10"/>
  <c r="F64" i="10"/>
  <c r="G64" i="10"/>
  <c r="F63" i="10"/>
  <c r="G63" i="10"/>
  <c r="F62" i="10"/>
  <c r="G62" i="10"/>
  <c r="F61" i="10"/>
  <c r="G61" i="10"/>
  <c r="F60" i="10"/>
  <c r="G60" i="10"/>
  <c r="F59" i="10"/>
  <c r="G59" i="10"/>
  <c r="F58" i="10"/>
  <c r="G58" i="10"/>
  <c r="F57" i="10"/>
  <c r="G57" i="10"/>
  <c r="F56" i="10"/>
  <c r="G56" i="10"/>
  <c r="F55" i="10"/>
  <c r="G55" i="10"/>
  <c r="F54" i="10"/>
  <c r="G54" i="10"/>
  <c r="F53" i="10"/>
  <c r="G53" i="10"/>
  <c r="F52" i="10"/>
  <c r="G52" i="10"/>
  <c r="F51" i="10"/>
  <c r="G51" i="10"/>
  <c r="F50" i="10"/>
  <c r="G50" i="10"/>
  <c r="F49" i="10"/>
  <c r="G49" i="10"/>
  <c r="F48" i="10"/>
  <c r="G48" i="10"/>
  <c r="G47" i="10"/>
  <c r="F46" i="10"/>
  <c r="G46" i="10"/>
  <c r="F45" i="10"/>
  <c r="G45" i="10"/>
  <c r="F44" i="10"/>
  <c r="G44" i="10"/>
  <c r="F43" i="10"/>
  <c r="G43" i="10"/>
  <c r="F42" i="10"/>
  <c r="G42" i="10"/>
  <c r="F41" i="10"/>
  <c r="G41" i="10"/>
  <c r="F40" i="10"/>
  <c r="G40" i="10"/>
  <c r="F39" i="10"/>
  <c r="G39" i="10"/>
  <c r="F38" i="10"/>
  <c r="G38" i="10"/>
  <c r="F37" i="10"/>
  <c r="G37" i="10"/>
  <c r="F36" i="10"/>
  <c r="G36" i="10"/>
  <c r="F35" i="10"/>
  <c r="G35" i="10"/>
  <c r="F34" i="10"/>
  <c r="G34" i="10"/>
  <c r="F33" i="10"/>
  <c r="G33" i="10"/>
  <c r="F32" i="10"/>
  <c r="G32" i="10"/>
  <c r="F31" i="10"/>
  <c r="G31" i="10"/>
  <c r="F30" i="10"/>
  <c r="G30" i="10"/>
  <c r="F29" i="10"/>
  <c r="G29" i="10"/>
  <c r="F28" i="10"/>
  <c r="G28" i="10"/>
  <c r="F27" i="10"/>
  <c r="G27" i="10"/>
  <c r="F26" i="10"/>
  <c r="G26" i="10"/>
  <c r="F25" i="10"/>
  <c r="G25" i="10"/>
  <c r="F24" i="10"/>
  <c r="G24" i="10"/>
  <c r="F23" i="10"/>
  <c r="G23" i="10"/>
  <c r="F22" i="10"/>
  <c r="G22" i="10"/>
  <c r="F21" i="10"/>
  <c r="G21" i="10"/>
  <c r="F20" i="10"/>
  <c r="G20" i="10"/>
  <c r="F19" i="10"/>
  <c r="G19" i="10"/>
  <c r="F18" i="10"/>
  <c r="G18" i="10"/>
  <c r="F17" i="10"/>
  <c r="G17" i="10"/>
  <c r="F16" i="10"/>
  <c r="G16" i="10"/>
  <c r="F15" i="10"/>
  <c r="G15" i="10"/>
  <c r="F14" i="10"/>
  <c r="G14" i="10"/>
  <c r="F13" i="10"/>
  <c r="G13" i="10"/>
  <c r="F12" i="10"/>
  <c r="G12" i="10"/>
  <c r="F11" i="10"/>
  <c r="G11" i="10"/>
  <c r="F10" i="10"/>
  <c r="G10" i="10"/>
  <c r="F9" i="10"/>
  <c r="G9" i="10"/>
  <c r="F8" i="10"/>
  <c r="G8" i="10"/>
  <c r="F7" i="10"/>
  <c r="G7" i="10"/>
  <c r="F6" i="10"/>
  <c r="G6" i="10"/>
  <c r="F5" i="10"/>
  <c r="G5" i="10"/>
  <c r="F4" i="10"/>
  <c r="G4" i="10"/>
  <c r="F47" i="10"/>
  <c r="D47" i="10"/>
  <c r="B37" i="2" l="1"/>
  <c r="B30" i="2"/>
  <c r="B35" i="2"/>
  <c r="B33" i="2"/>
  <c r="B32" i="2"/>
  <c r="B29" i="2"/>
  <c r="B28" i="2"/>
  <c r="B26" i="2"/>
  <c r="B21" i="2"/>
  <c r="B20" i="2"/>
  <c r="D17" i="2"/>
  <c r="B19" i="2"/>
  <c r="B15" i="2" l="1"/>
  <c r="B13" i="2"/>
  <c r="B11" i="2"/>
  <c r="B10" i="2"/>
  <c r="B5" i="2"/>
  <c r="B9" i="2"/>
  <c r="B8" i="2"/>
  <c r="B6" i="2"/>
  <c r="V5" i="34" l="1"/>
  <c r="V6" i="34"/>
  <c r="V7" i="34"/>
  <c r="V8" i="34"/>
  <c r="V9" i="34"/>
  <c r="V10" i="34"/>
  <c r="V11" i="34"/>
  <c r="V12" i="34"/>
  <c r="V13" i="34"/>
  <c r="V14" i="34"/>
  <c r="V15" i="34"/>
  <c r="V16" i="34"/>
  <c r="V17" i="34"/>
  <c r="V18" i="34"/>
  <c r="V19" i="34"/>
  <c r="V20" i="34"/>
  <c r="V21" i="34"/>
  <c r="V22" i="34"/>
  <c r="V23" i="34"/>
  <c r="V24" i="34"/>
  <c r="V25" i="34"/>
  <c r="V26" i="34"/>
  <c r="V4" i="34"/>
  <c r="H11" i="34"/>
  <c r="H12" i="34"/>
  <c r="H13" i="34"/>
  <c r="H14" i="34"/>
  <c r="H16" i="34"/>
  <c r="H17" i="34"/>
  <c r="H18" i="34"/>
  <c r="E15" i="34"/>
  <c r="D11" i="34"/>
  <c r="C3" i="34"/>
  <c r="D15" i="34"/>
  <c r="D16" i="34"/>
  <c r="D17" i="34"/>
  <c r="D18" i="34"/>
  <c r="E16" i="34"/>
  <c r="E17" i="34"/>
  <c r="E18" i="34"/>
  <c r="D12" i="34"/>
  <c r="D13" i="34"/>
  <c r="D14" i="34"/>
  <c r="D10" i="34"/>
  <c r="C6" i="34"/>
  <c r="C2" i="34" s="1"/>
  <c r="E11" i="34"/>
  <c r="E12" i="34"/>
  <c r="E13" i="34"/>
  <c r="E14" i="34"/>
  <c r="E10" i="34"/>
  <c r="G17" i="34"/>
  <c r="G16" i="34"/>
  <c r="G15" i="34"/>
  <c r="H15" i="34" s="1"/>
  <c r="G14" i="34"/>
  <c r="G13" i="34"/>
  <c r="G12" i="34"/>
  <c r="G11" i="34"/>
  <c r="G10" i="34"/>
  <c r="H10" i="34" s="1"/>
  <c r="G18" i="34"/>
  <c r="E6" i="34" l="1"/>
  <c r="E3" i="34" s="1"/>
  <c r="H6" i="34"/>
  <c r="G6" i="34"/>
  <c r="H3" i="34" s="1"/>
  <c r="AE4" i="34"/>
  <c r="G3" i="34" l="1"/>
  <c r="AE24" i="34"/>
  <c r="AE23" i="34"/>
  <c r="AE22" i="34"/>
  <c r="AE21" i="34"/>
  <c r="AE20" i="34"/>
  <c r="AE19" i="34"/>
  <c r="AE18" i="34"/>
  <c r="AE17" i="34"/>
  <c r="AE16" i="34"/>
  <c r="AE15" i="34"/>
  <c r="AE14" i="34"/>
  <c r="AE13" i="34"/>
  <c r="AE12" i="34"/>
  <c r="AE11" i="34"/>
  <c r="AE10" i="34"/>
  <c r="AE9" i="34"/>
  <c r="AE8" i="34"/>
  <c r="AE7" i="34"/>
  <c r="AE6" i="34"/>
  <c r="AE5" i="34"/>
  <c r="A8" i="34"/>
  <c r="J2" i="2"/>
  <c r="J2" i="3"/>
  <c r="X7" i="18"/>
  <c r="Z7" i="18" s="1"/>
  <c r="J12" i="3" s="1"/>
  <c r="I3" i="10"/>
  <c r="Q4" i="10"/>
  <c r="Q5" i="10"/>
  <c r="Q6" i="10"/>
  <c r="Q7" i="10"/>
  <c r="Q8" i="10"/>
  <c r="Q9" i="10"/>
  <c r="Q10" i="10"/>
  <c r="Q11" i="10"/>
  <c r="Q12" i="10"/>
  <c r="Q13" i="10"/>
  <c r="Q14" i="10"/>
  <c r="Q15" i="10"/>
  <c r="Q16" i="10"/>
  <c r="Q17" i="10"/>
  <c r="Q18" i="10"/>
  <c r="Q19" i="10"/>
  <c r="Q20" i="10"/>
  <c r="Q21" i="10"/>
  <c r="Q22" i="10"/>
  <c r="Q23" i="10"/>
  <c r="Q24" i="10"/>
  <c r="Q25" i="10"/>
  <c r="Q26" i="10"/>
  <c r="Q27" i="10"/>
  <c r="Q28" i="10"/>
  <c r="Q29" i="10"/>
  <c r="Q30" i="10"/>
  <c r="Q31" i="10"/>
  <c r="Q32" i="10"/>
  <c r="Q33" i="10"/>
  <c r="Q34" i="10"/>
  <c r="Q35" i="10"/>
  <c r="Q36" i="10"/>
  <c r="Q37" i="10"/>
  <c r="Q38" i="10"/>
  <c r="Q39" i="10"/>
  <c r="Q40" i="10"/>
  <c r="Q41" i="10"/>
  <c r="Q42" i="10"/>
  <c r="Q43" i="10"/>
  <c r="Q44" i="10"/>
  <c r="Q45" i="10"/>
  <c r="Q46" i="10"/>
  <c r="Q47" i="10"/>
  <c r="Q48" i="10"/>
  <c r="Q49" i="10"/>
  <c r="Q50" i="10"/>
  <c r="Q51" i="10"/>
  <c r="Q52" i="10"/>
  <c r="Q53" i="10"/>
  <c r="Q54" i="10"/>
  <c r="Q55" i="10"/>
  <c r="Q56" i="10"/>
  <c r="Q57" i="10"/>
  <c r="Q58" i="10"/>
  <c r="D5" i="2"/>
  <c r="D6" i="2"/>
  <c r="D7" i="2"/>
  <c r="D8" i="2"/>
  <c r="D9" i="2"/>
  <c r="D10" i="2"/>
  <c r="D11" i="2"/>
  <c r="D12" i="2"/>
  <c r="D13" i="2"/>
  <c r="D14" i="2"/>
  <c r="D15" i="2"/>
  <c r="D16" i="2"/>
  <c r="D18" i="2"/>
  <c r="D19" i="2"/>
  <c r="D20" i="2"/>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50" i="2"/>
  <c r="D51" i="2"/>
  <c r="D52" i="2"/>
  <c r="D53" i="2"/>
  <c r="D54" i="2"/>
  <c r="D55" i="2"/>
  <c r="D56" i="2"/>
  <c r="D57" i="2"/>
  <c r="D58" i="2"/>
  <c r="D59" i="2"/>
  <c r="X7" i="10"/>
  <c r="Z7" i="10" s="1"/>
  <c r="J12" i="2" s="1"/>
  <c r="S58" i="10" l="1"/>
  <c r="O58" i="10"/>
  <c r="S57" i="10"/>
  <c r="O57" i="10"/>
  <c r="S56" i="10"/>
  <c r="O56" i="10"/>
  <c r="S55" i="10"/>
  <c r="O55" i="10"/>
  <c r="S54" i="10"/>
  <c r="O54" i="10"/>
  <c r="S53" i="10"/>
  <c r="O53" i="10"/>
  <c r="S52" i="10"/>
  <c r="O52" i="10"/>
  <c r="S51" i="10"/>
  <c r="O51" i="10"/>
  <c r="S50" i="10"/>
  <c r="O50" i="10"/>
  <c r="S49" i="10"/>
  <c r="O49" i="10"/>
  <c r="S48" i="10"/>
  <c r="O48" i="10"/>
  <c r="S47" i="10"/>
  <c r="O47" i="10"/>
  <c r="S46" i="10"/>
  <c r="O46" i="10"/>
  <c r="S45" i="10"/>
  <c r="O45" i="10"/>
  <c r="S44" i="10"/>
  <c r="O44" i="10"/>
  <c r="S43" i="10"/>
  <c r="O43" i="10"/>
  <c r="S42" i="10"/>
  <c r="O42" i="10"/>
  <c r="S41" i="10"/>
  <c r="O41" i="10"/>
  <c r="S40" i="10"/>
  <c r="O40" i="10"/>
  <c r="S39" i="10"/>
  <c r="O39" i="10"/>
  <c r="S38" i="10"/>
  <c r="O38" i="10"/>
  <c r="S37" i="10"/>
  <c r="O37" i="10"/>
  <c r="S36" i="10"/>
  <c r="O36" i="10"/>
  <c r="S35" i="10"/>
  <c r="O35" i="10"/>
  <c r="S34" i="10"/>
  <c r="O34" i="10"/>
  <c r="S33" i="10"/>
  <c r="O33" i="10"/>
  <c r="S32" i="10"/>
  <c r="O32" i="10"/>
  <c r="S31" i="10"/>
  <c r="O31" i="10"/>
  <c r="S30" i="10"/>
  <c r="O30" i="10"/>
  <c r="S29" i="10"/>
  <c r="O29" i="10"/>
  <c r="S28" i="10"/>
  <c r="O28" i="10"/>
  <c r="S27" i="10"/>
  <c r="O27" i="10"/>
  <c r="S26" i="10"/>
  <c r="O26" i="10"/>
  <c r="S25" i="10"/>
  <c r="O25" i="10"/>
  <c r="S24" i="10"/>
  <c r="O24" i="10"/>
  <c r="S23" i="10"/>
  <c r="O23" i="10"/>
  <c r="S22" i="10"/>
  <c r="O22" i="10"/>
  <c r="S21" i="10"/>
  <c r="O21" i="10"/>
  <c r="S20" i="10"/>
  <c r="O20" i="10"/>
  <c r="S19" i="10"/>
  <c r="O19" i="10"/>
  <c r="S18" i="10"/>
  <c r="O18" i="10"/>
  <c r="S17" i="10"/>
  <c r="O17" i="10"/>
  <c r="S16" i="10"/>
  <c r="O16" i="10"/>
  <c r="S15" i="10"/>
  <c r="O15" i="10"/>
  <c r="S14" i="10"/>
  <c r="O14" i="10"/>
  <c r="S13" i="10"/>
  <c r="O13" i="10"/>
  <c r="S12" i="10"/>
  <c r="O12" i="10"/>
  <c r="S10" i="10"/>
  <c r="O10" i="10"/>
  <c r="S9" i="10"/>
  <c r="O9" i="10"/>
  <c r="S5" i="10"/>
  <c r="O5" i="10"/>
  <c r="S4" i="10"/>
  <c r="O4" i="10"/>
  <c r="S11" i="10"/>
  <c r="O11" i="10"/>
  <c r="S8" i="10"/>
  <c r="O8" i="10"/>
  <c r="S7" i="10"/>
  <c r="O7" i="10"/>
  <c r="S6" i="10"/>
  <c r="O6" i="10"/>
  <c r="A1" i="15"/>
  <c r="A1" i="17" l="1"/>
  <c r="Q31" i="18"/>
  <c r="Q32" i="18"/>
  <c r="Q33" i="18"/>
  <c r="Q34" i="18"/>
  <c r="Q35" i="18"/>
  <c r="Q36" i="18"/>
  <c r="Q37" i="18"/>
  <c r="Q38" i="18"/>
  <c r="Q39" i="18"/>
  <c r="Q40" i="18"/>
  <c r="Q41" i="18"/>
  <c r="Q42" i="18"/>
  <c r="Q43" i="18"/>
  <c r="Q44" i="18"/>
  <c r="Q45" i="18"/>
  <c r="Q46" i="18"/>
  <c r="Q47" i="18"/>
  <c r="Q48" i="18"/>
  <c r="Q49" i="18"/>
  <c r="Q50" i="18"/>
  <c r="F26" i="3"/>
  <c r="G26" i="3"/>
  <c r="H26" i="3"/>
  <c r="F27" i="3"/>
  <c r="G27" i="3"/>
  <c r="H27" i="3"/>
  <c r="F29" i="3"/>
  <c r="G29" i="3"/>
  <c r="H29" i="3"/>
  <c r="F30" i="3"/>
  <c r="G30" i="3"/>
  <c r="H30" i="3"/>
  <c r="F31" i="3"/>
  <c r="G31" i="3"/>
  <c r="H31" i="3"/>
  <c r="F32" i="3"/>
  <c r="G32" i="3"/>
  <c r="H32" i="3"/>
  <c r="F33" i="3"/>
  <c r="G33" i="3"/>
  <c r="H33" i="3"/>
  <c r="F34" i="3"/>
  <c r="G34" i="3"/>
  <c r="H34" i="3"/>
  <c r="F35" i="3"/>
  <c r="G35" i="3"/>
  <c r="H35" i="3"/>
  <c r="F36" i="3"/>
  <c r="G36" i="3"/>
  <c r="H36" i="3"/>
  <c r="F37" i="3"/>
  <c r="G37" i="3"/>
  <c r="H37" i="3"/>
  <c r="F38" i="3"/>
  <c r="G38" i="3"/>
  <c r="H38" i="3"/>
  <c r="F39" i="3"/>
  <c r="G39" i="3"/>
  <c r="H39" i="3"/>
  <c r="F40" i="3"/>
  <c r="G40" i="3"/>
  <c r="H40" i="3"/>
  <c r="F41" i="3"/>
  <c r="G41" i="3"/>
  <c r="H41" i="3"/>
  <c r="F42" i="3"/>
  <c r="G42" i="3"/>
  <c r="H42" i="3"/>
  <c r="F43" i="3"/>
  <c r="G43" i="3"/>
  <c r="H43" i="3"/>
  <c r="F44" i="3"/>
  <c r="G44" i="3"/>
  <c r="H44" i="3"/>
  <c r="F45" i="3"/>
  <c r="G45" i="3"/>
  <c r="H45" i="3"/>
  <c r="F46" i="3"/>
  <c r="G46" i="3"/>
  <c r="H46" i="3"/>
  <c r="F47" i="3"/>
  <c r="G47" i="3"/>
  <c r="H47" i="3"/>
  <c r="F48" i="3"/>
  <c r="G48" i="3"/>
  <c r="H48" i="3"/>
  <c r="F49" i="3"/>
  <c r="G49" i="3"/>
  <c r="H49" i="3"/>
  <c r="F50" i="3"/>
  <c r="G50" i="3"/>
  <c r="H50" i="3"/>
  <c r="F51" i="3"/>
  <c r="G51" i="3"/>
  <c r="H51" i="3"/>
  <c r="D33" i="3"/>
  <c r="D34" i="3"/>
  <c r="D35" i="3"/>
  <c r="D36" i="3"/>
  <c r="D37" i="3"/>
  <c r="D38" i="3"/>
  <c r="D39" i="3"/>
  <c r="D40" i="3"/>
  <c r="D41" i="3"/>
  <c r="D42" i="3"/>
  <c r="D43" i="3"/>
  <c r="D44" i="3"/>
  <c r="D45" i="3"/>
  <c r="D46" i="3"/>
  <c r="D47" i="3"/>
  <c r="D48" i="3"/>
  <c r="D49" i="3"/>
  <c r="D50" i="3"/>
  <c r="D51" i="3"/>
  <c r="A51" i="18"/>
  <c r="A52" i="18"/>
  <c r="A53" i="18"/>
  <c r="A54" i="18"/>
  <c r="A55" i="18"/>
  <c r="A56" i="18"/>
  <c r="A57" i="18"/>
  <c r="B57" i="18"/>
  <c r="F57" i="18" s="1"/>
  <c r="C57" i="18"/>
  <c r="G57" i="18" s="1"/>
  <c r="Q57" i="18"/>
  <c r="M57" i="18"/>
  <c r="I57" i="18" l="1"/>
  <c r="S50" i="18"/>
  <c r="S49" i="18"/>
  <c r="S48" i="18"/>
  <c r="S47" i="18"/>
  <c r="S46" i="18"/>
  <c r="S45" i="18"/>
  <c r="S44" i="18"/>
  <c r="S43" i="18"/>
  <c r="S42" i="18"/>
  <c r="S41" i="18"/>
  <c r="S40" i="18"/>
  <c r="S39" i="18"/>
  <c r="S38" i="18"/>
  <c r="S37" i="18"/>
  <c r="S36" i="18"/>
  <c r="S35" i="18"/>
  <c r="S34" i="18"/>
  <c r="S33" i="18"/>
  <c r="S32" i="18"/>
  <c r="S31" i="18"/>
  <c r="S57" i="18"/>
  <c r="D57" i="18"/>
  <c r="N57" i="18"/>
  <c r="U58" i="10" l="1"/>
  <c r="U57" i="10"/>
  <c r="U56" i="10"/>
  <c r="U12" i="10"/>
  <c r="U55" i="10"/>
  <c r="H22" i="3" l="1"/>
  <c r="H23" i="3"/>
  <c r="H24" i="3"/>
  <c r="H25" i="3"/>
  <c r="H52" i="3"/>
  <c r="H53" i="3"/>
  <c r="H54" i="3"/>
  <c r="H55" i="3"/>
  <c r="H56" i="3"/>
  <c r="H57" i="3"/>
  <c r="H58" i="3"/>
  <c r="G22" i="3"/>
  <c r="G23" i="3"/>
  <c r="G24" i="3"/>
  <c r="G25" i="3"/>
  <c r="G52" i="3"/>
  <c r="G53" i="3"/>
  <c r="G54" i="3"/>
  <c r="G55" i="3"/>
  <c r="G56" i="3"/>
  <c r="G57" i="3"/>
  <c r="G58" i="3"/>
  <c r="J6" i="2" l="1"/>
  <c r="J6" i="3"/>
  <c r="H4" i="2" l="1"/>
  <c r="H4" i="3"/>
  <c r="H5" i="3"/>
  <c r="H6" i="3"/>
  <c r="H7" i="3"/>
  <c r="H8" i="3"/>
  <c r="H9" i="3"/>
  <c r="H10" i="3"/>
  <c r="H11" i="3"/>
  <c r="H12" i="3"/>
  <c r="H13" i="3"/>
  <c r="H15" i="3"/>
  <c r="H16" i="3"/>
  <c r="H17" i="3"/>
  <c r="H18" i="3"/>
  <c r="H19" i="3"/>
  <c r="H20" i="3"/>
  <c r="H21" i="3"/>
  <c r="Z11" i="10"/>
  <c r="X10" i="10"/>
  <c r="X11" i="10"/>
  <c r="X9" i="10"/>
  <c r="Y10" i="10"/>
  <c r="Y11" i="10"/>
  <c r="Y9" i="10"/>
  <c r="AA11" i="10" l="1"/>
  <c r="Z11" i="18"/>
  <c r="Y11" i="18"/>
  <c r="Y10" i="18"/>
  <c r="Y9" i="18"/>
  <c r="X11" i="18"/>
  <c r="X10" i="18"/>
  <c r="X9" i="18"/>
  <c r="AA11" i="18" l="1"/>
  <c r="Q51" i="18"/>
  <c r="Q52" i="18"/>
  <c r="Q53" i="18"/>
  <c r="Q54" i="18"/>
  <c r="Q55" i="18"/>
  <c r="Q56" i="18"/>
  <c r="Q27" i="18"/>
  <c r="F11" i="3"/>
  <c r="G11" i="3"/>
  <c r="D11" i="3"/>
  <c r="F9" i="3"/>
  <c r="G9" i="3"/>
  <c r="F10" i="3"/>
  <c r="G10" i="3"/>
  <c r="D9" i="3"/>
  <c r="G7" i="3"/>
  <c r="G8" i="3"/>
  <c r="G12" i="3"/>
  <c r="F7" i="3"/>
  <c r="F8" i="3"/>
  <c r="D7" i="3"/>
  <c r="S56" i="18" l="1"/>
  <c r="I56" i="18"/>
  <c r="S55" i="18"/>
  <c r="I55" i="18"/>
  <c r="S54" i="18"/>
  <c r="I54" i="18"/>
  <c r="S53" i="18"/>
  <c r="I53" i="18"/>
  <c r="S52" i="18"/>
  <c r="I52" i="18"/>
  <c r="S51" i="18"/>
  <c r="I51" i="18"/>
  <c r="S27" i="18"/>
  <c r="Q30" i="18"/>
  <c r="Q28" i="18"/>
  <c r="Q29" i="18"/>
  <c r="S29" i="18" l="1"/>
  <c r="S28" i="18"/>
  <c r="S30" i="18"/>
  <c r="U4" i="10" l="1"/>
  <c r="U5" i="10"/>
  <c r="U6" i="10"/>
  <c r="U7" i="10"/>
  <c r="U8" i="10"/>
  <c r="U9" i="10"/>
  <c r="U10" i="10"/>
  <c r="U11" i="10"/>
  <c r="U13" i="10"/>
  <c r="U14" i="10"/>
  <c r="U15" i="10"/>
  <c r="U16" i="10"/>
  <c r="U17" i="10"/>
  <c r="U18" i="10"/>
  <c r="U19" i="10"/>
  <c r="U20" i="10"/>
  <c r="U21" i="10"/>
  <c r="U22" i="10"/>
  <c r="U23" i="10"/>
  <c r="U24" i="10"/>
  <c r="U25" i="10"/>
  <c r="U26" i="10"/>
  <c r="U27" i="10"/>
  <c r="U28" i="10"/>
  <c r="U29" i="10"/>
  <c r="U30" i="10"/>
  <c r="U32" i="10"/>
  <c r="U33" i="10"/>
  <c r="U34" i="10"/>
  <c r="U35" i="10"/>
  <c r="U36" i="10"/>
  <c r="U37" i="10"/>
  <c r="U38" i="10"/>
  <c r="U39" i="10"/>
  <c r="U40" i="10"/>
  <c r="U41" i="10"/>
  <c r="U42" i="10"/>
  <c r="U43" i="10"/>
  <c r="U44" i="10"/>
  <c r="U45" i="10"/>
  <c r="U46" i="10"/>
  <c r="U47" i="10"/>
  <c r="U48" i="10"/>
  <c r="U49" i="10"/>
  <c r="U50" i="10"/>
  <c r="U51" i="10"/>
  <c r="U52" i="10"/>
  <c r="U53" i="10"/>
  <c r="U54" i="10"/>
  <c r="U31" i="10" l="1"/>
  <c r="A4" i="17" l="1"/>
  <c r="E3" i="17" l="1"/>
  <c r="M52" i="18" l="1"/>
  <c r="M53" i="18"/>
  <c r="M54" i="18"/>
  <c r="M55" i="18"/>
  <c r="M56" i="18"/>
  <c r="M51" i="18"/>
  <c r="C51" i="18" l="1"/>
  <c r="G51" i="18" s="1"/>
  <c r="C52" i="18"/>
  <c r="G52" i="18" s="1"/>
  <c r="C53" i="18"/>
  <c r="G53" i="18" s="1"/>
  <c r="C54" i="18"/>
  <c r="G54" i="18" s="1"/>
  <c r="C55" i="18"/>
  <c r="G55" i="18" s="1"/>
  <c r="C56" i="18"/>
  <c r="G56" i="18" s="1"/>
  <c r="B51" i="18"/>
  <c r="F51" i="18" s="1"/>
  <c r="B52" i="18"/>
  <c r="F52" i="18" s="1"/>
  <c r="B53" i="18"/>
  <c r="F53" i="18" s="1"/>
  <c r="B54" i="18"/>
  <c r="F54" i="18" s="1"/>
  <c r="B55" i="18"/>
  <c r="F55" i="18" s="1"/>
  <c r="B56" i="18"/>
  <c r="F56" i="18" s="1"/>
  <c r="M60" i="10"/>
  <c r="M61" i="10"/>
  <c r="M62" i="10"/>
  <c r="M63" i="10"/>
  <c r="M64" i="10"/>
  <c r="M65" i="10"/>
  <c r="M59" i="10"/>
  <c r="O30" i="17" l="1"/>
  <c r="O32" i="17"/>
  <c r="O29" i="17"/>
  <c r="O33" i="17"/>
  <c r="O34" i="17"/>
  <c r="O31" i="17"/>
  <c r="O28" i="17"/>
  <c r="D52" i="18"/>
  <c r="D56" i="18"/>
  <c r="D55" i="18"/>
  <c r="D54" i="18"/>
  <c r="D53" i="18"/>
  <c r="D51" i="18"/>
  <c r="I1" i="3" l="1"/>
  <c r="I1" i="2"/>
  <c r="O35" i="17"/>
  <c r="O36" i="17"/>
  <c r="O37" i="17"/>
  <c r="O38" i="17"/>
  <c r="O39" i="17"/>
  <c r="C3" i="10"/>
  <c r="B3" i="10"/>
  <c r="D3" i="10" l="1"/>
  <c r="J2" i="18"/>
  <c r="Q59" i="10"/>
  <c r="Q60" i="10"/>
  <c r="S60" i="10" s="1"/>
  <c r="Q61" i="10"/>
  <c r="S61" i="10" s="1"/>
  <c r="Q62" i="10"/>
  <c r="S62" i="10" s="1"/>
  <c r="Q63" i="10"/>
  <c r="S63" i="10" s="1"/>
  <c r="Q64" i="10"/>
  <c r="S64" i="10" s="1"/>
  <c r="I59" i="10" l="1"/>
  <c r="S59" i="10"/>
  <c r="U64" i="10"/>
  <c r="I64" i="10"/>
  <c r="U63" i="10"/>
  <c r="I63" i="10"/>
  <c r="U62" i="10"/>
  <c r="I62" i="10"/>
  <c r="U61" i="10"/>
  <c r="I61" i="10"/>
  <c r="I60" i="10"/>
  <c r="U60" i="10" s="1"/>
  <c r="Q65" i="10"/>
  <c r="O11" i="17"/>
  <c r="O25" i="17"/>
  <c r="O19" i="17"/>
  <c r="O24" i="17"/>
  <c r="O20" i="17"/>
  <c r="O21" i="17"/>
  <c r="O18" i="17"/>
  <c r="O13" i="17"/>
  <c r="O27" i="17"/>
  <c r="O23" i="17"/>
  <c r="O12" i="17"/>
  <c r="O26" i="17"/>
  <c r="O22" i="17"/>
  <c r="G7" i="17"/>
  <c r="I65" i="10" l="1"/>
  <c r="S65" i="10"/>
  <c r="Q9" i="18"/>
  <c r="S9" i="18" l="1"/>
  <c r="N56" i="18" l="1"/>
  <c r="O16" i="17"/>
  <c r="O17" i="17"/>
  <c r="N59" i="10" l="1"/>
  <c r="O59" i="10" s="1"/>
  <c r="U59" i="10"/>
  <c r="A4" i="15" l="1"/>
  <c r="I2" i="18"/>
  <c r="E3" i="15"/>
  <c r="E3" i="10"/>
  <c r="I2" i="10"/>
  <c r="H51" i="18" l="1"/>
  <c r="H52" i="18"/>
  <c r="H53" i="18"/>
  <c r="H54" i="18"/>
  <c r="H55" i="18"/>
  <c r="H56" i="18"/>
  <c r="H57" i="18"/>
  <c r="H4" i="10"/>
  <c r="H5" i="10"/>
  <c r="H6" i="10"/>
  <c r="H7" i="10"/>
  <c r="H8" i="10"/>
  <c r="H9" i="10"/>
  <c r="H10" i="10"/>
  <c r="H11" i="10"/>
  <c r="H12" i="10"/>
  <c r="H13" i="10"/>
  <c r="H14" i="10"/>
  <c r="H15" i="10"/>
  <c r="H16" i="10"/>
  <c r="H17" i="10"/>
  <c r="H18" i="10"/>
  <c r="H19" i="10"/>
  <c r="H20" i="10"/>
  <c r="H21" i="10"/>
  <c r="H22" i="10"/>
  <c r="H23" i="10"/>
  <c r="H24" i="10"/>
  <c r="H25" i="10"/>
  <c r="H26" i="10"/>
  <c r="H27" i="10"/>
  <c r="H28" i="10"/>
  <c r="H29" i="10"/>
  <c r="H30" i="10"/>
  <c r="H31" i="10"/>
  <c r="H32" i="10"/>
  <c r="H33" i="10"/>
  <c r="H34" i="10"/>
  <c r="H35" i="10"/>
  <c r="H36" i="10"/>
  <c r="H37" i="10"/>
  <c r="H38" i="10"/>
  <c r="H39" i="10"/>
  <c r="H40" i="10"/>
  <c r="H41" i="10"/>
  <c r="H42" i="10"/>
  <c r="H43" i="10"/>
  <c r="H44" i="10"/>
  <c r="H45" i="10"/>
  <c r="H46" i="10"/>
  <c r="H47" i="10"/>
  <c r="H48" i="10"/>
  <c r="H49" i="10"/>
  <c r="H50" i="10"/>
  <c r="H51" i="10"/>
  <c r="H52" i="10"/>
  <c r="H53" i="10"/>
  <c r="H54" i="10"/>
  <c r="H55" i="10"/>
  <c r="H56" i="10"/>
  <c r="H57" i="10"/>
  <c r="H58" i="10"/>
  <c r="H59" i="10"/>
  <c r="H60" i="10"/>
  <c r="H61" i="10"/>
  <c r="H62" i="10"/>
  <c r="H63" i="10"/>
  <c r="H64" i="10"/>
  <c r="H65" i="10"/>
  <c r="B10" i="15" a="1"/>
  <c r="B10" i="15" s="1"/>
  <c r="C13" i="15" a="1"/>
  <c r="C13" i="15" s="1"/>
  <c r="A15" i="15" a="1"/>
  <c r="A15" i="15" s="1"/>
  <c r="D16" i="15" a="1"/>
  <c r="D16" i="15" s="1"/>
  <c r="B18" i="15" a="1"/>
  <c r="B18" i="15" s="1"/>
  <c r="C21" i="15" a="1"/>
  <c r="C21" i="15" s="1"/>
  <c r="A23" i="15" a="1"/>
  <c r="A23" i="15" s="1"/>
  <c r="D24" i="15" a="1"/>
  <c r="D24" i="15" s="1"/>
  <c r="B26" i="15" a="1"/>
  <c r="B26" i="15" s="1"/>
  <c r="C29" i="15" a="1"/>
  <c r="C29" i="15" s="1"/>
  <c r="A31" i="15" a="1"/>
  <c r="A31" i="15" s="1"/>
  <c r="D32" i="15" a="1"/>
  <c r="D32" i="15" s="1"/>
  <c r="B34" i="15" a="1"/>
  <c r="B34" i="15" s="1"/>
  <c r="C37" i="15" a="1"/>
  <c r="C37" i="15" s="1"/>
  <c r="A39" i="15" a="1"/>
  <c r="A39" i="15" s="1"/>
  <c r="C18" i="15" a="1"/>
  <c r="C18" i="15" s="1"/>
  <c r="B23" i="15" a="1"/>
  <c r="B23" i="15" s="1"/>
  <c r="D29" i="15" a="1"/>
  <c r="D29" i="15" s="1"/>
  <c r="A36" i="15" a="1"/>
  <c r="A36" i="15" s="1"/>
  <c r="A25" i="15" a="1"/>
  <c r="A25" i="15" s="1"/>
  <c r="A33" i="15" a="1"/>
  <c r="A33" i="15" s="1"/>
  <c r="D8" i="15" a="1"/>
  <c r="D8" i="15" s="1"/>
  <c r="A8" i="15" a="1"/>
  <c r="A8" i="15" s="1"/>
  <c r="C10" i="15" a="1"/>
  <c r="C10" i="15" s="1"/>
  <c r="A12" i="15" a="1"/>
  <c r="A12" i="15" s="1"/>
  <c r="D13" i="15" a="1"/>
  <c r="D13" i="15" s="1"/>
  <c r="B15" i="15" a="1"/>
  <c r="B15" i="15" s="1"/>
  <c r="A20" i="15" a="1"/>
  <c r="A20" i="15" s="1"/>
  <c r="B31" i="15" a="1"/>
  <c r="B31" i="15" s="1"/>
  <c r="D37" i="15" a="1"/>
  <c r="D37" i="15" s="1"/>
  <c r="B28" i="15" a="1"/>
  <c r="B28" i="15" s="1"/>
  <c r="B36" i="15" a="1"/>
  <c r="B36" i="15" s="1"/>
  <c r="B8" i="15" a="1"/>
  <c r="B8" i="15" s="1"/>
  <c r="D10" i="15" a="1"/>
  <c r="D10" i="15" s="1"/>
  <c r="B12" i="15" a="1"/>
  <c r="B12" i="15" s="1"/>
  <c r="C15" i="15" a="1"/>
  <c r="C15" i="15" s="1"/>
  <c r="A17" i="15" a="1"/>
  <c r="A17" i="15" s="1"/>
  <c r="D18" i="15" a="1"/>
  <c r="D18" i="15" s="1"/>
  <c r="B20" i="15" a="1"/>
  <c r="B20" i="15" s="1"/>
  <c r="C23" i="15" a="1"/>
  <c r="C23" i="15" s="1"/>
  <c r="D26" i="15" a="1"/>
  <c r="D26" i="15" s="1"/>
  <c r="D34" i="15" a="1"/>
  <c r="D34" i="15" s="1"/>
  <c r="A9" i="15" a="1"/>
  <c r="A9" i="15" s="1"/>
  <c r="C12" i="15" a="1"/>
  <c r="C12" i="15" s="1"/>
  <c r="A14" i="15" a="1"/>
  <c r="A14" i="15" s="1"/>
  <c r="D15" i="15" a="1"/>
  <c r="D15" i="15" s="1"/>
  <c r="B17" i="15" a="1"/>
  <c r="B17" i="15" s="1"/>
  <c r="C20" i="15" a="1"/>
  <c r="C20" i="15" s="1"/>
  <c r="A22" i="15" a="1"/>
  <c r="A22" i="15" s="1"/>
  <c r="D23" i="15" a="1"/>
  <c r="D23" i="15" s="1"/>
  <c r="B25" i="15" a="1"/>
  <c r="B25" i="15" s="1"/>
  <c r="C28" i="15" a="1"/>
  <c r="C28" i="15" s="1"/>
  <c r="A30" i="15" a="1"/>
  <c r="A30" i="15" s="1"/>
  <c r="D31" i="15" a="1"/>
  <c r="D31" i="15" s="1"/>
  <c r="B33" i="15" a="1"/>
  <c r="B33" i="15" s="1"/>
  <c r="C36" i="15" a="1"/>
  <c r="C36" i="15" s="1"/>
  <c r="A38" i="15" a="1"/>
  <c r="A38" i="15" s="1"/>
  <c r="D39" i="15" a="1"/>
  <c r="D39" i="15" s="1"/>
  <c r="B38" i="15" a="1"/>
  <c r="B38" i="15" s="1"/>
  <c r="B11" i="15" a="1"/>
  <c r="B11" i="15" s="1"/>
  <c r="C14" i="15" a="1"/>
  <c r="C14" i="15" s="1"/>
  <c r="A16" i="15" a="1"/>
  <c r="A16" i="15" s="1"/>
  <c r="B19" i="15" a="1"/>
  <c r="B19" i="15" s="1"/>
  <c r="C22" i="15" a="1"/>
  <c r="C22" i="15" s="1"/>
  <c r="D25" i="15" a="1"/>
  <c r="D25" i="15" s="1"/>
  <c r="B27" i="15" a="1"/>
  <c r="B27" i="15" s="1"/>
  <c r="C30" i="15" a="1"/>
  <c r="C30" i="15" s="1"/>
  <c r="D33" i="15" a="1"/>
  <c r="D33" i="15" s="1"/>
  <c r="C38" i="15" a="1"/>
  <c r="C38" i="15" s="1"/>
  <c r="B9" i="15" a="1"/>
  <c r="B9" i="15" s="1"/>
  <c r="A11" i="15" a="1"/>
  <c r="A11" i="15" s="1"/>
  <c r="D12" i="15" a="1"/>
  <c r="D12" i="15" s="1"/>
  <c r="B14" i="15" a="1"/>
  <c r="B14" i="15" s="1"/>
  <c r="C17" i="15" a="1"/>
  <c r="C17" i="15" s="1"/>
  <c r="A19" i="15" a="1"/>
  <c r="A19" i="15" s="1"/>
  <c r="D20" i="15" a="1"/>
  <c r="D20" i="15" s="1"/>
  <c r="B22" i="15" a="1"/>
  <c r="B22" i="15" s="1"/>
  <c r="C25" i="15" a="1"/>
  <c r="C25" i="15" s="1"/>
  <c r="A27" i="15" a="1"/>
  <c r="A27" i="15" s="1"/>
  <c r="D28" i="15" a="1"/>
  <c r="D28" i="15" s="1"/>
  <c r="B30" i="15" a="1"/>
  <c r="B30" i="15" s="1"/>
  <c r="C33" i="15" a="1"/>
  <c r="C33" i="15" s="1"/>
  <c r="A35" i="15" a="1"/>
  <c r="A35" i="15" s="1"/>
  <c r="D36" i="15" a="1"/>
  <c r="D36" i="15" s="1"/>
  <c r="D17" i="15" a="1"/>
  <c r="D17" i="15" s="1"/>
  <c r="A24" i="15" a="1"/>
  <c r="A24" i="15" s="1"/>
  <c r="A32" i="15" a="1"/>
  <c r="A32" i="15" s="1"/>
  <c r="B35" i="15" a="1"/>
  <c r="B35" i="15" s="1"/>
  <c r="A7" i="15" a="1"/>
  <c r="A7" i="15" s="1"/>
  <c r="C9" i="15" a="1"/>
  <c r="C9" i="15" s="1"/>
  <c r="D9" i="15" a="1"/>
  <c r="D9" i="15" s="1"/>
  <c r="C11" i="15" a="1"/>
  <c r="C11" i="15" s="1"/>
  <c r="A13" i="15" a="1"/>
  <c r="A13" i="15" s="1"/>
  <c r="D14" i="15" a="1"/>
  <c r="D14" i="15" s="1"/>
  <c r="B16" i="15" a="1"/>
  <c r="B16" i="15" s="1"/>
  <c r="C19" i="15" a="1"/>
  <c r="C19" i="15" s="1"/>
  <c r="A21" i="15" a="1"/>
  <c r="A21" i="15" s="1"/>
  <c r="D22" i="15" a="1"/>
  <c r="D22" i="15" s="1"/>
  <c r="B24" i="15" a="1"/>
  <c r="B24" i="15" s="1"/>
  <c r="C27" i="15" a="1"/>
  <c r="C27" i="15" s="1"/>
  <c r="A29" i="15" a="1"/>
  <c r="A29" i="15" s="1"/>
  <c r="D30" i="15" a="1"/>
  <c r="D30" i="15" s="1"/>
  <c r="B32" i="15" a="1"/>
  <c r="B32" i="15" s="1"/>
  <c r="C35" i="15" a="1"/>
  <c r="C35" i="15" s="1"/>
  <c r="A37" i="15" a="1"/>
  <c r="A37" i="15" s="1"/>
  <c r="D38" i="15" a="1"/>
  <c r="D38" i="15" s="1"/>
  <c r="B7" i="15" a="1"/>
  <c r="B7" i="15" s="1"/>
  <c r="A28" i="15" a="1"/>
  <c r="A28" i="15" s="1"/>
  <c r="C34" i="15" a="1"/>
  <c r="C34" i="15" s="1"/>
  <c r="B39" i="15" a="1"/>
  <c r="B39" i="15" s="1"/>
  <c r="C39" i="15" a="1"/>
  <c r="C39" i="15" s="1"/>
  <c r="A10" i="15" a="1"/>
  <c r="A10" i="15" s="1"/>
  <c r="D11" i="15" a="1"/>
  <c r="D11" i="15" s="1"/>
  <c r="B13" i="15" a="1"/>
  <c r="B13" i="15" s="1"/>
  <c r="C16" i="15" a="1"/>
  <c r="C16" i="15" s="1"/>
  <c r="A18" i="15" a="1"/>
  <c r="A18" i="15" s="1"/>
  <c r="D19" i="15" a="1"/>
  <c r="D19" i="15" s="1"/>
  <c r="B21" i="15" a="1"/>
  <c r="B21" i="15" s="1"/>
  <c r="C24" i="15" a="1"/>
  <c r="C24" i="15" s="1"/>
  <c r="A26" i="15" a="1"/>
  <c r="A26" i="15" s="1"/>
  <c r="D27" i="15" a="1"/>
  <c r="D27" i="15" s="1"/>
  <c r="B29" i="15" a="1"/>
  <c r="B29" i="15" s="1"/>
  <c r="C32" i="15" a="1"/>
  <c r="C32" i="15" s="1"/>
  <c r="A34" i="15" a="1"/>
  <c r="A34" i="15" s="1"/>
  <c r="D35" i="15" a="1"/>
  <c r="D35" i="15" s="1"/>
  <c r="B37" i="15" a="1"/>
  <c r="B37" i="15" s="1"/>
  <c r="D21" i="15" a="1"/>
  <c r="D21" i="15" s="1"/>
  <c r="C26" i="15" a="1"/>
  <c r="C26" i="15" s="1"/>
  <c r="C8" i="15" a="1"/>
  <c r="C8" i="15" s="1"/>
  <c r="C31" i="15" a="1"/>
  <c r="C31" i="15" s="1"/>
  <c r="J2" i="10"/>
  <c r="E19" i="15" a="1"/>
  <c r="E19" i="15" s="1"/>
  <c r="E27" i="15" a="1"/>
  <c r="E27" i="15" s="1"/>
  <c r="E35" i="15" a="1"/>
  <c r="E35" i="15" s="1"/>
  <c r="E18" i="15" a="1"/>
  <c r="E18" i="15" s="1"/>
  <c r="E26" i="15" a="1"/>
  <c r="E26" i="15" s="1"/>
  <c r="E14" i="15" a="1"/>
  <c r="E14" i="15" s="1"/>
  <c r="E22" i="15" a="1"/>
  <c r="E22" i="15" s="1"/>
  <c r="E30" i="15" a="1"/>
  <c r="E30" i="15" s="1"/>
  <c r="E38" i="15" a="1"/>
  <c r="E38" i="15" s="1"/>
  <c r="E15" i="15" a="1"/>
  <c r="E15" i="15" s="1"/>
  <c r="E31" i="15" a="1"/>
  <c r="E31" i="15" s="1"/>
  <c r="E21" i="15" a="1"/>
  <c r="E21" i="15" s="1"/>
  <c r="E16" i="15" a="1"/>
  <c r="E16" i="15" s="1"/>
  <c r="E32" i="15" a="1"/>
  <c r="E32" i="15" s="1"/>
  <c r="E17" i="15" a="1"/>
  <c r="E17" i="15" s="1"/>
  <c r="E25" i="15" a="1"/>
  <c r="E25" i="15" s="1"/>
  <c r="E33" i="15" a="1"/>
  <c r="E33" i="15" s="1"/>
  <c r="E20" i="15" a="1"/>
  <c r="E20" i="15" s="1"/>
  <c r="E28" i="15" a="1"/>
  <c r="E28" i="15" s="1"/>
  <c r="E36" i="15" a="1"/>
  <c r="E36" i="15" s="1"/>
  <c r="E23" i="15" a="1"/>
  <c r="E23" i="15" s="1"/>
  <c r="E13" i="15" a="1"/>
  <c r="E13" i="15" s="1"/>
  <c r="E37" i="15" a="1"/>
  <c r="E37" i="15" s="1"/>
  <c r="E24" i="15" a="1"/>
  <c r="E24" i="15" s="1"/>
  <c r="N64" i="10"/>
  <c r="O64" i="10" s="1"/>
  <c r="N62" i="10"/>
  <c r="O62" i="10" s="1"/>
  <c r="N63" i="10"/>
  <c r="O63" i="10" s="1"/>
  <c r="Q19" i="18"/>
  <c r="Q4" i="18"/>
  <c r="Q21" i="18"/>
  <c r="Q26" i="18"/>
  <c r="Q25" i="18"/>
  <c r="Q24" i="18"/>
  <c r="Q22" i="18"/>
  <c r="Q18" i="18"/>
  <c r="Q17" i="18"/>
  <c r="O9" i="17"/>
  <c r="Q16" i="18"/>
  <c r="Q14" i="18"/>
  <c r="Q11" i="18"/>
  <c r="Q8" i="18"/>
  <c r="Q7" i="18"/>
  <c r="Q20" i="18"/>
  <c r="Q15" i="18"/>
  <c r="Q13" i="18"/>
  <c r="O8" i="17"/>
  <c r="Q10" i="18"/>
  <c r="G3" i="18"/>
  <c r="Q3" i="18"/>
  <c r="Q23" i="18"/>
  <c r="Q12" i="18"/>
  <c r="Q6" i="18"/>
  <c r="Q5" i="18"/>
  <c r="H3" i="18"/>
  <c r="F3" i="18"/>
  <c r="H3" i="10"/>
  <c r="I1" i="10"/>
  <c r="Q3" i="10"/>
  <c r="O3" i="10" s="1"/>
  <c r="G3" i="10"/>
  <c r="F3" i="10"/>
  <c r="I1" i="18"/>
  <c r="G4" i="3"/>
  <c r="G5" i="3"/>
  <c r="G6" i="3"/>
  <c r="G13" i="3"/>
  <c r="G15" i="3"/>
  <c r="G16" i="3"/>
  <c r="G17" i="3"/>
  <c r="G18" i="3"/>
  <c r="G19" i="3"/>
  <c r="G20" i="3"/>
  <c r="G21" i="3"/>
  <c r="F4" i="3"/>
  <c r="F5" i="3"/>
  <c r="F6" i="3"/>
  <c r="F12" i="3"/>
  <c r="F13" i="3"/>
  <c r="F15" i="3"/>
  <c r="F16" i="3"/>
  <c r="F17" i="3"/>
  <c r="F18" i="3"/>
  <c r="F19" i="3"/>
  <c r="F20" i="3"/>
  <c r="F21" i="3"/>
  <c r="F22" i="3"/>
  <c r="F23" i="3"/>
  <c r="F24" i="3"/>
  <c r="F25" i="3"/>
  <c r="F52" i="3"/>
  <c r="F53" i="3"/>
  <c r="F54" i="3"/>
  <c r="F55" i="3"/>
  <c r="F56" i="3"/>
  <c r="F57" i="3"/>
  <c r="F58" i="3"/>
  <c r="B4" i="17"/>
  <c r="D52" i="3"/>
  <c r="D53" i="3"/>
  <c r="D54" i="3"/>
  <c r="D55" i="3"/>
  <c r="D56" i="3"/>
  <c r="D57" i="3"/>
  <c r="D58" i="3"/>
  <c r="B4" i="15"/>
  <c r="G4" i="2"/>
  <c r="F4" i="2"/>
  <c r="O12" i="18" l="1"/>
  <c r="U12" i="18"/>
  <c r="O13" i="18"/>
  <c r="U13" i="18"/>
  <c r="S26" i="18"/>
  <c r="S5" i="18"/>
  <c r="S6" i="18"/>
  <c r="S12" i="18"/>
  <c r="S23" i="18"/>
  <c r="U3" i="18"/>
  <c r="V3" i="18" s="1" a="1"/>
  <c r="V3" i="18" s="1"/>
  <c r="S3" i="18"/>
  <c r="S10" i="18"/>
  <c r="S13" i="18"/>
  <c r="S15" i="18"/>
  <c r="S20" i="18"/>
  <c r="S7" i="18"/>
  <c r="S8" i="18"/>
  <c r="S11" i="18"/>
  <c r="S14" i="18"/>
  <c r="S16" i="18"/>
  <c r="S17" i="18"/>
  <c r="S18" i="18"/>
  <c r="S24" i="18"/>
  <c r="S25" i="18"/>
  <c r="S21" i="18"/>
  <c r="S4" i="18"/>
  <c r="S19" i="18"/>
  <c r="S22" i="18"/>
  <c r="S3" i="10"/>
  <c r="E12" i="15" a="1"/>
  <c r="E12" i="15" s="1"/>
  <c r="E39" i="15" a="1"/>
  <c r="E39" i="15" s="1"/>
  <c r="E11" i="15" a="1"/>
  <c r="E11" i="15" s="1"/>
  <c r="E34" i="15" a="1"/>
  <c r="E34" i="15" s="1"/>
  <c r="E10" i="15" a="1"/>
  <c r="E10" i="15" s="1"/>
  <c r="E29" i="15" a="1"/>
  <c r="E29" i="15" s="1"/>
  <c r="L2" i="3"/>
  <c r="K2" i="2"/>
  <c r="L2" i="2"/>
  <c r="C7" i="15" a="1"/>
  <c r="C7" i="15" s="1"/>
  <c r="D7" i="15" a="1"/>
  <c r="D7" i="15" s="1"/>
  <c r="K2" i="3"/>
  <c r="F36" i="15"/>
  <c r="G36" i="15"/>
  <c r="O36" i="15" s="1"/>
  <c r="F21" i="15"/>
  <c r="G21" i="15"/>
  <c r="O21" i="15" s="1"/>
  <c r="F27" i="15"/>
  <c r="G27" i="15"/>
  <c r="O27" i="15" s="1"/>
  <c r="F14" i="15"/>
  <c r="G14" i="15"/>
  <c r="O14" i="15" s="1"/>
  <c r="F32" i="15"/>
  <c r="G32" i="15"/>
  <c r="O32" i="15" s="1"/>
  <c r="F38" i="15"/>
  <c r="G38" i="15"/>
  <c r="O38" i="15" s="1"/>
  <c r="F12" i="15"/>
  <c r="G12" i="15"/>
  <c r="O12" i="15" s="1"/>
  <c r="G31" i="15"/>
  <c r="O31" i="15" s="1"/>
  <c r="F31" i="15"/>
  <c r="F29" i="15"/>
  <c r="G29" i="15"/>
  <c r="O29" i="15" s="1"/>
  <c r="F34" i="15"/>
  <c r="G34" i="15"/>
  <c r="O34" i="15" s="1"/>
  <c r="F18" i="15"/>
  <c r="G18" i="15"/>
  <c r="O18" i="15" s="1"/>
  <c r="F11" i="15"/>
  <c r="G11" i="15"/>
  <c r="O11" i="15" s="1"/>
  <c r="F17" i="15"/>
  <c r="G17" i="15"/>
  <c r="O17" i="15" s="1"/>
  <c r="F9" i="15"/>
  <c r="G9" i="15"/>
  <c r="F8" i="15"/>
  <c r="G8" i="15"/>
  <c r="F15" i="15"/>
  <c r="G15" i="15"/>
  <c r="O15" i="15" s="1"/>
  <c r="F26" i="15"/>
  <c r="G26" i="15"/>
  <c r="O26" i="15" s="1"/>
  <c r="F39" i="15"/>
  <c r="G39" i="15"/>
  <c r="O39" i="15" s="1"/>
  <c r="F28" i="15"/>
  <c r="G28" i="15"/>
  <c r="O28" i="15" s="1"/>
  <c r="F16" i="15"/>
  <c r="G16" i="15"/>
  <c r="O16" i="15" s="1"/>
  <c r="G13" i="15"/>
  <c r="O13" i="15" s="1"/>
  <c r="F13" i="15"/>
  <c r="F24" i="15"/>
  <c r="G24" i="15"/>
  <c r="O24" i="15" s="1"/>
  <c r="F19" i="15"/>
  <c r="G19" i="15"/>
  <c r="O19" i="15" s="1"/>
  <c r="F20" i="15"/>
  <c r="G20" i="15"/>
  <c r="O20" i="15" s="1"/>
  <c r="F33" i="15"/>
  <c r="G33" i="15"/>
  <c r="O33" i="15" s="1"/>
  <c r="G35" i="15"/>
  <c r="O35" i="15" s="1"/>
  <c r="F35" i="15"/>
  <c r="F22" i="15"/>
  <c r="G22" i="15"/>
  <c r="O22" i="15" s="1"/>
  <c r="F10" i="15"/>
  <c r="G10" i="15"/>
  <c r="O10" i="15" s="1"/>
  <c r="F37" i="15"/>
  <c r="G37" i="15"/>
  <c r="O37" i="15" s="1"/>
  <c r="F30" i="15"/>
  <c r="G30" i="15"/>
  <c r="O30" i="15" s="1"/>
  <c r="G25" i="15"/>
  <c r="O25" i="15" s="1"/>
  <c r="F25" i="15"/>
  <c r="F23" i="15"/>
  <c r="G23" i="15"/>
  <c r="O23" i="15" s="1"/>
  <c r="E9" i="15" a="1"/>
  <c r="E9" i="15" s="1"/>
  <c r="E7" i="15" a="1"/>
  <c r="E7" i="15" s="1"/>
  <c r="E8" i="15" a="1"/>
  <c r="E8" i="15" s="1"/>
  <c r="O10" i="17"/>
  <c r="O7" i="17"/>
  <c r="X4" i="18"/>
  <c r="F7" i="17"/>
  <c r="E4" i="17" s="1"/>
  <c r="X5" i="18"/>
  <c r="W3" i="18"/>
  <c r="F7" i="15"/>
  <c r="X5" i="10"/>
  <c r="W3" i="10"/>
  <c r="U3" i="10"/>
  <c r="X4" i="10"/>
  <c r="N60" i="10"/>
  <c r="O60" i="10" s="1"/>
  <c r="N61" i="10"/>
  <c r="O61" i="10" s="1"/>
  <c r="N65" i="10"/>
  <c r="O65" i="10" s="1"/>
  <c r="N51" i="18"/>
  <c r="N54" i="18"/>
  <c r="N53" i="18"/>
  <c r="N52" i="18"/>
  <c r="N55" i="18"/>
  <c r="O15" i="17"/>
  <c r="U65" i="10"/>
  <c r="L2" i="18"/>
  <c r="K2" i="18"/>
  <c r="L2" i="10"/>
  <c r="K2" i="10"/>
  <c r="E4" i="15" l="1"/>
  <c r="O9" i="15"/>
  <c r="O8" i="15"/>
  <c r="G7" i="15"/>
  <c r="O7" i="15" s="1"/>
  <c r="X3" i="18"/>
  <c r="X3" i="10"/>
  <c r="O14" i="17"/>
  <c r="D63" i="2"/>
  <c r="D64" i="2"/>
  <c r="D65" i="2"/>
  <c r="D66" i="2"/>
  <c r="D60" i="2"/>
  <c r="D61" i="2"/>
  <c r="D62" i="2"/>
  <c r="O40" i="15" l="1"/>
  <c r="J4" i="17"/>
  <c r="AE8" i="18"/>
  <c r="J4" i="15"/>
  <c r="AE8" i="10"/>
  <c r="D32" i="3"/>
  <c r="D31" i="3"/>
  <c r="D27" i="3"/>
  <c r="D16" i="3"/>
  <c r="D15" i="3"/>
  <c r="D17" i="3"/>
  <c r="D6" i="3"/>
  <c r="D5" i="3"/>
  <c r="D4" i="2" l="1"/>
  <c r="D4" i="17" l="1"/>
  <c r="C4" i="17"/>
  <c r="D30" i="3"/>
  <c r="D29" i="3"/>
  <c r="D26" i="3"/>
  <c r="D25" i="3"/>
  <c r="D24" i="3"/>
  <c r="D23" i="3"/>
  <c r="D22" i="3"/>
  <c r="D21" i="3"/>
  <c r="D20" i="3"/>
  <c r="D19" i="3"/>
  <c r="D18" i="3"/>
  <c r="D13" i="3"/>
  <c r="D12" i="3"/>
  <c r="D10" i="3"/>
  <c r="D8" i="3"/>
  <c r="D4" i="3"/>
  <c r="D4" i="15"/>
  <c r="P40" i="15" s="1"/>
  <c r="H4" i="15" s="1"/>
  <c r="C4" i="15"/>
  <c r="L3" i="2" l="1"/>
  <c r="M3" i="2" s="1"/>
  <c r="J8" i="15"/>
  <c r="K4" i="10"/>
  <c r="W9" i="10" l="1"/>
  <c r="Z9" i="10" s="1"/>
  <c r="Z13" i="10" s="1"/>
  <c r="W10" i="10"/>
  <c r="Z10" i="10" s="1"/>
  <c r="Z12" i="10" s="1"/>
  <c r="AA10" i="10" l="1"/>
  <c r="AA12" i="10" s="1"/>
  <c r="L10" i="2" s="1"/>
  <c r="AA9" i="10"/>
  <c r="AA13" i="10" s="1"/>
  <c r="O40" i="17"/>
  <c r="I9" i="15" l="1"/>
  <c r="L8" i="2"/>
  <c r="P40" i="17"/>
  <c r="H4" i="17" s="1"/>
  <c r="J7" i="17" s="1"/>
  <c r="I7" i="15" l="1"/>
  <c r="L3" i="3"/>
  <c r="M3" i="3" s="1"/>
  <c r="K4" i="18" l="1"/>
  <c r="W10" i="18" s="1"/>
  <c r="Z10" i="18" s="1"/>
  <c r="Z12" i="18" s="1"/>
  <c r="AA10" i="18" l="1"/>
  <c r="AA12" i="18" s="1"/>
  <c r="L10" i="3" s="1"/>
  <c r="I9" i="17" s="1"/>
  <c r="W9" i="18"/>
  <c r="AA9" i="18" l="1"/>
  <c r="AA13" i="18" s="1"/>
  <c r="Z9" i="18"/>
  <c r="Z13" i="18" s="1"/>
  <c r="L8" i="3" l="1"/>
  <c r="I7" i="17" s="1"/>
  <c r="AA4" i="34" a="1"/>
  <c r="AA4" i="34"/>
  <c r="AA5" i="34" a="1"/>
  <c r="AA5" i="34"/>
  <c r="AA6" i="34" a="1"/>
  <c r="AA6" i="34"/>
  <c r="AA7" i="34" a="1"/>
  <c r="AA7" i="34"/>
  <c r="AA8" i="34" a="1"/>
  <c r="AA8" i="34"/>
  <c r="AA9" i="34" a="1"/>
  <c r="AA9" i="34"/>
  <c r="AA10" i="34" a="1"/>
  <c r="AA10" i="34"/>
  <c r="AB10" i="34"/>
  <c r="AA11" i="34" a="1"/>
  <c r="AA11" i="34"/>
  <c r="AB11" i="34"/>
  <c r="AA12" i="34" a="1"/>
  <c r="AA12" i="34"/>
  <c r="AB12" i="34"/>
  <c r="AA13" i="34" a="1"/>
  <c r="AA13" i="34"/>
  <c r="AB13" i="34"/>
  <c r="AA14" i="34" a="1"/>
  <c r="AA14" i="34"/>
  <c r="AB14" i="34"/>
  <c r="AA15" i="34" a="1"/>
  <c r="AA15" i="34"/>
  <c r="AB15" i="34"/>
  <c r="AA16" i="34" a="1"/>
  <c r="AA16" i="34"/>
  <c r="AB16" i="34"/>
  <c r="AA17" i="34" a="1"/>
  <c r="AA17" i="34"/>
  <c r="AB17" i="34"/>
  <c r="AA18" i="34" a="1"/>
  <c r="AA18" i="34"/>
  <c r="AB18" i="34"/>
  <c r="AA19" i="34" a="1"/>
  <c r="AA19" i="34"/>
  <c r="AB19" i="34"/>
  <c r="AA20" i="34" a="1"/>
  <c r="AA20" i="34"/>
  <c r="AB20" i="34"/>
  <c r="AA21" i="34" a="1"/>
  <c r="AA21" i="34"/>
  <c r="AB21" i="34"/>
  <c r="AA22" i="34" a="1"/>
  <c r="AA22" i="34"/>
  <c r="AB22" i="34"/>
  <c r="AA23" i="34" a="1"/>
  <c r="AA23" i="34"/>
  <c r="AB23" i="34"/>
  <c r="AA24" i="34" a="1"/>
  <c r="AA24" i="34"/>
  <c r="AB24" i="34"/>
  <c r="V3" i="10" a="1"/>
  <c r="V3" i="10"/>
  <c r="T3" i="10" a="1"/>
  <c r="T3" i="10"/>
  <c r="T4" i="10" a="1"/>
  <c r="T4" i="10"/>
  <c r="T5" i="10" a="1"/>
  <c r="T5" i="10"/>
  <c r="T6" i="10" a="1"/>
  <c r="T6" i="10"/>
  <c r="V4" i="10" a="1"/>
  <c r="V4" i="10"/>
  <c r="V5" i="10" a="1"/>
  <c r="V5" i="10"/>
  <c r="V6" i="10" a="1"/>
  <c r="V6" i="10"/>
  <c r="V7" i="10" a="1"/>
  <c r="V7" i="10"/>
  <c r="V8" i="10" a="1"/>
  <c r="V8" i="10"/>
  <c r="V9" i="10" a="1"/>
  <c r="V9" i="10"/>
  <c r="V10" i="10" a="1"/>
  <c r="V10" i="10"/>
  <c r="V11" i="10" a="1"/>
  <c r="V11" i="10"/>
  <c r="V12" i="10" a="1"/>
  <c r="V12" i="10"/>
  <c r="V13" i="10" a="1"/>
  <c r="V13" i="10"/>
  <c r="V14" i="10" a="1"/>
  <c r="V14" i="10"/>
  <c r="V15" i="10" a="1"/>
  <c r="V15" i="10"/>
  <c r="V16" i="10" a="1"/>
  <c r="V16" i="10"/>
  <c r="V17" i="10" a="1"/>
  <c r="V17" i="10"/>
  <c r="V18" i="10" a="1"/>
  <c r="V18" i="10"/>
  <c r="V19" i="10" a="1"/>
  <c r="V19" i="10"/>
  <c r="V20" i="10" a="1"/>
  <c r="V20" i="10"/>
  <c r="V21" i="10" a="1"/>
  <c r="V21" i="10"/>
  <c r="V22" i="10" a="1"/>
  <c r="V22" i="10"/>
  <c r="V23" i="10" a="1"/>
  <c r="V23" i="10"/>
  <c r="V24" i="10" a="1"/>
  <c r="V24" i="10"/>
  <c r="V25" i="10" a="1"/>
  <c r="V25" i="10"/>
  <c r="V26" i="10" a="1"/>
  <c r="V26" i="10"/>
  <c r="V27" i="10" a="1"/>
  <c r="V27" i="10"/>
  <c r="V28" i="10" a="1"/>
  <c r="V28" i="10"/>
  <c r="V29" i="10" a="1"/>
  <c r="V29" i="10"/>
  <c r="V30" i="10" a="1"/>
  <c r="V30" i="10"/>
  <c r="V31" i="10" a="1"/>
  <c r="V31" i="10"/>
  <c r="V32" i="10" a="1"/>
  <c r="V32" i="10"/>
  <c r="V33" i="10" a="1"/>
  <c r="V33" i="10"/>
  <c r="V34" i="10" a="1"/>
  <c r="V34" i="10"/>
  <c r="V35" i="10" a="1"/>
  <c r="V35" i="10"/>
  <c r="V36" i="10" a="1"/>
  <c r="V36" i="10"/>
  <c r="V37" i="10" a="1"/>
  <c r="V37" i="10"/>
  <c r="V38" i="10" a="1"/>
  <c r="V38" i="10"/>
  <c r="V39" i="10" a="1"/>
  <c r="V39" i="10"/>
  <c r="V40" i="10" a="1"/>
  <c r="V40" i="10"/>
  <c r="V41" i="10" a="1"/>
  <c r="V41" i="10"/>
  <c r="V42" i="10" a="1"/>
  <c r="V42" i="10"/>
  <c r="V43" i="10" a="1"/>
  <c r="V43" i="10"/>
  <c r="V44" i="10" a="1"/>
  <c r="V44" i="10"/>
  <c r="V45" i="10" a="1"/>
  <c r="V45" i="10"/>
  <c r="V46" i="10" a="1"/>
  <c r="V46" i="10"/>
  <c r="V47" i="10" a="1"/>
  <c r="V47" i="10"/>
  <c r="V48" i="10" a="1"/>
  <c r="V48" i="10"/>
  <c r="V49" i="10" a="1"/>
  <c r="V49" i="10"/>
  <c r="V50" i="10" a="1"/>
  <c r="V50" i="10"/>
  <c r="V51" i="10" a="1"/>
  <c r="V51" i="10"/>
  <c r="V52" i="10" a="1"/>
  <c r="V52" i="10"/>
  <c r="V53" i="10" a="1"/>
  <c r="V53" i="10"/>
  <c r="V54" i="10" a="1"/>
  <c r="V54" i="10"/>
  <c r="V55" i="10" a="1"/>
  <c r="V55" i="10"/>
  <c r="V56" i="10" a="1"/>
  <c r="V56" i="10"/>
  <c r="V57" i="10" a="1"/>
  <c r="V57" i="10"/>
  <c r="V58" i="10" a="1"/>
  <c r="V58" i="10"/>
  <c r="V59" i="10" a="1"/>
  <c r="V59" i="10"/>
  <c r="V60" i="10" a="1"/>
  <c r="V60" i="10"/>
  <c r="V61" i="10" a="1"/>
  <c r="V61" i="10"/>
  <c r="V62" i="10" a="1"/>
  <c r="V62" i="10"/>
  <c r="V63" i="10" a="1"/>
  <c r="V63" i="10"/>
  <c r="V64" i="10" a="1"/>
  <c r="V64" i="10"/>
  <c r="V65" i="10" a="1"/>
  <c r="V65" i="10"/>
  <c r="T7" i="10" a="1"/>
  <c r="T7" i="10"/>
  <c r="T8" i="10" a="1"/>
  <c r="T8" i="10"/>
  <c r="T9" i="10" a="1"/>
  <c r="T9" i="10"/>
  <c r="T10" i="10" a="1"/>
  <c r="T10" i="10"/>
  <c r="T11" i="10" a="1"/>
  <c r="T11" i="10"/>
  <c r="T12" i="10" a="1"/>
  <c r="T12" i="10"/>
  <c r="T13" i="10" a="1"/>
  <c r="T13" i="10"/>
  <c r="T14" i="10" a="1"/>
  <c r="T14" i="10"/>
  <c r="T15" i="10" a="1"/>
  <c r="T15" i="10"/>
  <c r="T16" i="10" a="1"/>
  <c r="T16" i="10"/>
  <c r="T17" i="10" a="1"/>
  <c r="T17" i="10"/>
  <c r="T18" i="10" a="1"/>
  <c r="T18" i="10"/>
  <c r="T19" i="10" a="1"/>
  <c r="T19" i="10"/>
  <c r="T20" i="10" a="1"/>
  <c r="T20" i="10"/>
  <c r="T21" i="10" a="1"/>
  <c r="T21" i="10"/>
  <c r="T22" i="10" a="1"/>
  <c r="T22" i="10"/>
  <c r="T23" i="10" a="1"/>
  <c r="T23" i="10"/>
  <c r="T24" i="10" a="1"/>
  <c r="T24" i="10"/>
  <c r="T25" i="10" a="1"/>
  <c r="T25" i="10"/>
  <c r="T26" i="10" a="1"/>
  <c r="T26" i="10"/>
  <c r="T27" i="10" a="1"/>
  <c r="T27" i="10"/>
  <c r="T28" i="10" a="1"/>
  <c r="T28" i="10"/>
  <c r="T29" i="10" a="1"/>
  <c r="T29" i="10"/>
  <c r="T30" i="10" a="1"/>
  <c r="T30" i="10"/>
  <c r="T31" i="10" a="1"/>
  <c r="T31" i="10"/>
  <c r="T32" i="10" a="1"/>
  <c r="T32" i="10"/>
  <c r="T33" i="10" a="1"/>
  <c r="T33" i="10"/>
  <c r="T34" i="10" a="1"/>
  <c r="T34" i="10"/>
  <c r="T35" i="10" a="1"/>
  <c r="T35" i="10"/>
  <c r="T36" i="10" a="1"/>
  <c r="T36" i="10"/>
  <c r="T37" i="10" a="1"/>
  <c r="T37" i="10"/>
  <c r="T38" i="10" a="1"/>
  <c r="T38" i="10"/>
  <c r="T39" i="10" a="1"/>
  <c r="T39" i="10"/>
  <c r="T40" i="10" a="1"/>
  <c r="T40" i="10"/>
  <c r="T41" i="10" a="1"/>
  <c r="T41" i="10"/>
  <c r="T42" i="10" a="1"/>
  <c r="T42" i="10"/>
  <c r="T43" i="10" a="1"/>
  <c r="T43" i="10"/>
  <c r="T44" i="10" a="1"/>
  <c r="T44" i="10"/>
  <c r="T45" i="10" a="1"/>
  <c r="T45" i="10"/>
  <c r="T46" i="10" a="1"/>
  <c r="T46" i="10"/>
  <c r="T47" i="10" a="1"/>
  <c r="T47" i="10"/>
  <c r="T48" i="10" a="1"/>
  <c r="T48" i="10"/>
  <c r="T49" i="10" a="1"/>
  <c r="T49" i="10"/>
  <c r="T50" i="10" a="1"/>
  <c r="T50" i="10"/>
  <c r="T51" i="10" a="1"/>
  <c r="T51" i="10"/>
  <c r="T52" i="10" a="1"/>
  <c r="T52" i="10"/>
  <c r="T53" i="10" a="1"/>
  <c r="T53" i="10"/>
  <c r="T54" i="10" a="1"/>
  <c r="T54" i="10"/>
  <c r="T55" i="10" a="1"/>
  <c r="T55" i="10"/>
  <c r="T56" i="10" a="1"/>
  <c r="T56" i="10"/>
  <c r="T57" i="10" a="1"/>
  <c r="T57" i="10"/>
  <c r="T58" i="10" a="1"/>
  <c r="T58" i="10"/>
  <c r="T59" i="10" a="1"/>
  <c r="T59" i="10"/>
  <c r="T60" i="10" a="1"/>
  <c r="T60" i="10"/>
  <c r="T61" i="10" a="1"/>
  <c r="T61" i="10"/>
  <c r="T62" i="10" a="1"/>
  <c r="T62" i="10"/>
  <c r="T63" i="10" a="1"/>
  <c r="T63" i="10"/>
  <c r="T64" i="10" a="1"/>
  <c r="T64" i="10"/>
  <c r="T65" i="10" a="1"/>
  <c r="T65" i="10"/>
  <c r="Y3" i="10" l="1" a="1"/>
  <c r="Y3" i="10" s="1"/>
  <c r="T3" i="18" l="1" a="1"/>
  <c r="T3" i="18"/>
  <c r="T4" i="18" a="1"/>
  <c r="T4" i="18"/>
  <c r="T5" i="18" a="1"/>
  <c r="T5" i="18"/>
  <c r="T6" i="18" a="1"/>
  <c r="T6" i="18"/>
  <c r="T7" i="18" a="1"/>
  <c r="T7" i="18"/>
  <c r="T8" i="18" a="1"/>
  <c r="T8" i="18"/>
  <c r="T9" i="18" a="1"/>
  <c r="T9" i="18"/>
  <c r="T10" i="18" a="1"/>
  <c r="T10" i="18"/>
  <c r="T11" i="18" a="1"/>
  <c r="T11" i="18"/>
  <c r="T12" i="18" a="1"/>
  <c r="T12" i="18"/>
  <c r="T13" i="18" a="1"/>
  <c r="T13" i="18"/>
  <c r="T14" i="18" a="1"/>
  <c r="T14" i="18"/>
  <c r="T15" i="18" a="1"/>
  <c r="T15" i="18"/>
  <c r="T16" i="18" a="1"/>
  <c r="T16" i="18"/>
  <c r="T17" i="18" a="1"/>
  <c r="T17" i="18"/>
  <c r="T18" i="18" a="1"/>
  <c r="T18" i="18"/>
  <c r="T19" i="18" a="1"/>
  <c r="T19" i="18"/>
  <c r="T20" i="18" a="1"/>
  <c r="T20" i="18"/>
  <c r="T21" i="18" a="1"/>
  <c r="T21" i="18"/>
  <c r="T22" i="18" a="1"/>
  <c r="T22" i="18"/>
  <c r="T23" i="18" a="1"/>
  <c r="T23" i="18"/>
  <c r="T24" i="18" a="1"/>
  <c r="T24" i="18"/>
  <c r="T25" i="18" a="1"/>
  <c r="T25" i="18"/>
  <c r="T26" i="18" a="1"/>
  <c r="T26" i="18"/>
  <c r="T27" i="18" a="1"/>
  <c r="T27" i="18"/>
  <c r="T28" i="18" a="1"/>
  <c r="T28" i="18"/>
  <c r="T29" i="18" a="1"/>
  <c r="T29" i="18"/>
  <c r="T30" i="18" a="1"/>
  <c r="T30" i="18"/>
  <c r="T31" i="18" a="1"/>
  <c r="T31" i="18"/>
  <c r="T32" i="18" a="1"/>
  <c r="T32" i="18"/>
  <c r="T33" i="18" a="1"/>
  <c r="T33" i="18"/>
  <c r="T34" i="18" a="1"/>
  <c r="T34" i="18"/>
  <c r="T35" i="18" a="1"/>
  <c r="T35" i="18"/>
  <c r="T36" i="18" a="1"/>
  <c r="T36" i="18"/>
  <c r="T37" i="18" a="1"/>
  <c r="T37" i="18"/>
  <c r="T38" i="18" a="1"/>
  <c r="T38" i="18"/>
  <c r="T39" i="18" a="1"/>
  <c r="T39" i="18"/>
  <c r="T40" i="18" a="1"/>
  <c r="T40" i="18"/>
  <c r="T41" i="18" a="1"/>
  <c r="T41" i="18"/>
  <c r="T42" i="18" a="1"/>
  <c r="T42" i="18"/>
  <c r="T43" i="18" a="1"/>
  <c r="T43" i="18"/>
  <c r="T44" i="18" a="1"/>
  <c r="T44" i="18"/>
  <c r="T45" i="18" a="1"/>
  <c r="T45" i="18"/>
  <c r="T46" i="18" a="1"/>
  <c r="T46" i="18"/>
  <c r="T47" i="18" a="1"/>
  <c r="T47" i="18"/>
  <c r="T48" i="18" a="1"/>
  <c r="T48" i="18"/>
  <c r="T49" i="18" a="1"/>
  <c r="T49" i="18"/>
  <c r="T50" i="18" a="1"/>
  <c r="T50" i="18"/>
  <c r="T51" i="18" a="1"/>
  <c r="T51" i="18"/>
  <c r="T52" i="18" a="1"/>
  <c r="T52" i="18"/>
  <c r="T53" i="18" a="1"/>
  <c r="T53" i="18"/>
  <c r="T54" i="18" a="1"/>
  <c r="T54" i="18"/>
  <c r="T55" i="18" a="1"/>
  <c r="T55" i="18"/>
  <c r="T56" i="18" a="1"/>
  <c r="T56" i="18"/>
  <c r="T57" i="18" a="1"/>
  <c r="T57" i="18"/>
  <c r="P3" i="18" a="1"/>
  <c r="P3" i="18"/>
  <c r="P4" i="18" a="1"/>
  <c r="P4" i="18"/>
  <c r="P5" i="18" a="1"/>
  <c r="P5" i="18"/>
  <c r="P6" i="18" a="1"/>
  <c r="P6" i="18"/>
  <c r="P7" i="18" a="1"/>
  <c r="P7" i="18"/>
  <c r="P8" i="18" a="1"/>
  <c r="P8" i="18"/>
  <c r="P9" i="18" a="1"/>
  <c r="P9" i="18"/>
  <c r="P10" i="18" a="1"/>
  <c r="P10" i="18"/>
  <c r="P11" i="18" a="1"/>
  <c r="P11" i="18"/>
  <c r="P12" i="18" a="1"/>
  <c r="P12" i="18"/>
  <c r="P13" i="18" a="1"/>
  <c r="P13" i="18"/>
  <c r="P14" i="18" a="1"/>
  <c r="P14" i="18"/>
  <c r="P15" i="18" a="1"/>
  <c r="P15" i="18"/>
  <c r="P16" i="18" a="1"/>
  <c r="P16" i="18"/>
  <c r="P17" i="18" a="1"/>
  <c r="P17" i="18"/>
  <c r="P18" i="18" a="1"/>
  <c r="P18" i="18"/>
  <c r="P19" i="18" a="1"/>
  <c r="P19" i="18"/>
  <c r="P20" i="18" a="1"/>
  <c r="P20" i="18"/>
  <c r="P21" i="18" a="1"/>
  <c r="P21" i="18"/>
  <c r="P22" i="18" a="1"/>
  <c r="P22" i="18"/>
  <c r="P23" i="18" a="1"/>
  <c r="P23" i="18"/>
  <c r="P24" i="18" a="1"/>
  <c r="P24" i="18"/>
  <c r="P25" i="18" a="1"/>
  <c r="P25" i="18"/>
  <c r="P26" i="18" a="1"/>
  <c r="P26" i="18"/>
  <c r="P27" i="18" a="1"/>
  <c r="P27" i="18"/>
  <c r="P28" i="18" a="1"/>
  <c r="P28" i="18"/>
  <c r="P29" i="18" a="1"/>
  <c r="P29" i="18"/>
  <c r="P30" i="18" a="1"/>
  <c r="P30" i="18"/>
  <c r="P31" i="18" a="1"/>
  <c r="P31" i="18"/>
  <c r="P32" i="18" a="1"/>
  <c r="P32" i="18"/>
  <c r="P33" i="18" a="1"/>
  <c r="P33" i="18"/>
  <c r="P34" i="18" a="1"/>
  <c r="P34" i="18"/>
  <c r="P35" i="18" a="1"/>
  <c r="P35" i="18"/>
  <c r="P36" i="18" a="1"/>
  <c r="P36" i="18"/>
  <c r="P37" i="18" a="1"/>
  <c r="P37" i="18"/>
  <c r="P38" i="18" a="1"/>
  <c r="P38" i="18"/>
  <c r="P39" i="18" a="1"/>
  <c r="P39" i="18"/>
  <c r="P40" i="18" a="1"/>
  <c r="P40" i="18"/>
  <c r="P41" i="18" a="1"/>
  <c r="P41" i="18"/>
  <c r="P42" i="18" a="1"/>
  <c r="P42" i="18"/>
  <c r="P43" i="18" a="1"/>
  <c r="P43" i="18"/>
  <c r="P44" i="18" a="1"/>
  <c r="P44" i="18"/>
  <c r="P45" i="18" a="1"/>
  <c r="P45" i="18"/>
  <c r="P46" i="18" a="1"/>
  <c r="P46" i="18"/>
  <c r="P47" i="18" a="1"/>
  <c r="P47" i="18"/>
  <c r="P48" i="18" a="1"/>
  <c r="P48" i="18"/>
  <c r="P49" i="18" a="1"/>
  <c r="P49" i="18"/>
  <c r="P50" i="18" a="1"/>
  <c r="P50" i="18"/>
  <c r="P51" i="18" a="1"/>
  <c r="P51" i="18"/>
  <c r="P52" i="18" a="1"/>
  <c r="P52" i="18"/>
  <c r="P53" i="18" a="1"/>
  <c r="P53" i="18"/>
  <c r="P54" i="18" a="1"/>
  <c r="P54" i="18"/>
  <c r="P55" i="18" a="1"/>
  <c r="P55" i="18"/>
  <c r="P56" i="18" a="1"/>
  <c r="P56" i="18"/>
  <c r="P57" i="18" a="1"/>
  <c r="P57" i="18"/>
  <c r="Z3" i="10" a="1"/>
  <c r="Z3" i="10"/>
  <c r="AE4" i="10"/>
  <c r="AE5" i="10"/>
  <c r="AE6" i="10"/>
  <c r="AE7" i="10"/>
  <c r="AE9" i="10"/>
  <c r="V4" i="18" a="1"/>
  <c r="V4" i="18"/>
  <c r="V5" i="18" a="1"/>
  <c r="V5" i="18"/>
  <c r="V6" i="18" a="1"/>
  <c r="V6" i="18"/>
  <c r="V7" i="18" a="1"/>
  <c r="V7" i="18"/>
  <c r="V8" i="18" a="1"/>
  <c r="V8" i="18"/>
  <c r="V9" i="18" a="1"/>
  <c r="V9" i="18"/>
  <c r="V10" i="18" a="1"/>
  <c r="V10" i="18"/>
  <c r="V11" i="18" a="1"/>
  <c r="V11" i="18"/>
  <c r="V12" i="18" a="1"/>
  <c r="V12" i="18"/>
  <c r="V13" i="18" a="1"/>
  <c r="V13" i="18"/>
  <c r="V14" i="18" a="1"/>
  <c r="V14" i="18"/>
  <c r="V15" i="18" a="1"/>
  <c r="V15" i="18"/>
  <c r="V16" i="18" a="1"/>
  <c r="V16" i="18"/>
  <c r="V17" i="18" a="1"/>
  <c r="V17" i="18"/>
  <c r="V18" i="18" a="1"/>
  <c r="V18" i="18"/>
  <c r="V19" i="18" a="1"/>
  <c r="V19" i="18"/>
  <c r="V20" i="18" a="1"/>
  <c r="V20" i="18"/>
  <c r="V21" i="18" a="1"/>
  <c r="V21" i="18"/>
  <c r="V22" i="18" a="1"/>
  <c r="V22" i="18"/>
  <c r="V23" i="18" a="1"/>
  <c r="V23" i="18"/>
  <c r="V24" i="18" a="1"/>
  <c r="V24" i="18"/>
  <c r="V25" i="18" a="1"/>
  <c r="V25" i="18"/>
  <c r="V26" i="18" a="1"/>
  <c r="V26" i="18"/>
  <c r="V27" i="18" a="1"/>
  <c r="V27" i="18"/>
  <c r="V28" i="18" a="1"/>
  <c r="V28" i="18"/>
  <c r="V29" i="18" a="1"/>
  <c r="V29" i="18"/>
  <c r="V30" i="18" a="1"/>
  <c r="V30" i="18"/>
  <c r="V31" i="18" a="1"/>
  <c r="V31" i="18"/>
  <c r="V32" i="18" a="1"/>
  <c r="V32" i="18"/>
  <c r="V33" i="18" a="1"/>
  <c r="V33" i="18"/>
  <c r="V34" i="18" a="1"/>
  <c r="V34" i="18"/>
  <c r="V35" i="18" a="1"/>
  <c r="V35" i="18"/>
  <c r="V36" i="18" a="1"/>
  <c r="V36" i="18"/>
  <c r="V37" i="18" a="1"/>
  <c r="V37" i="18"/>
  <c r="V38" i="18" a="1"/>
  <c r="V38" i="18"/>
  <c r="V39" i="18" a="1"/>
  <c r="V39" i="18"/>
  <c r="V40" i="18" a="1"/>
  <c r="V40" i="18"/>
  <c r="V41" i="18" a="1"/>
  <c r="V41" i="18"/>
  <c r="V42" i="18" a="1"/>
  <c r="V42" i="18"/>
  <c r="V43" i="18" a="1"/>
  <c r="V43" i="18"/>
  <c r="V44" i="18" a="1"/>
  <c r="V44" i="18"/>
  <c r="V45" i="18" a="1"/>
  <c r="V45" i="18"/>
  <c r="V46" i="18" a="1"/>
  <c r="V46" i="18"/>
  <c r="V47" i="18" a="1"/>
  <c r="V47" i="18"/>
  <c r="V48" i="18" a="1"/>
  <c r="V48" i="18"/>
  <c r="V49" i="18" a="1"/>
  <c r="V49" i="18"/>
  <c r="V50" i="18" a="1"/>
  <c r="V50" i="18"/>
  <c r="V51" i="18" a="1"/>
  <c r="V51" i="18"/>
  <c r="V52" i="18" a="1"/>
  <c r="V52" i="18"/>
  <c r="V53" i="18" a="1"/>
  <c r="V53" i="18"/>
  <c r="V54" i="18" a="1"/>
  <c r="V54" i="18"/>
  <c r="V55" i="18" a="1"/>
  <c r="V55" i="18"/>
  <c r="V56" i="18" a="1"/>
  <c r="V56" i="18"/>
  <c r="V57" i="18" a="1"/>
  <c r="V57" i="18"/>
  <c r="P3" i="10" a="1"/>
  <c r="P3" i="10"/>
  <c r="P4" i="10" a="1"/>
  <c r="P4" i="10"/>
  <c r="P5" i="10" a="1"/>
  <c r="P5" i="10"/>
  <c r="P6" i="10" a="1"/>
  <c r="P6" i="10"/>
  <c r="P7" i="10" a="1"/>
  <c r="P7" i="10"/>
  <c r="P8" i="10" a="1"/>
  <c r="P8" i="10"/>
  <c r="P9" i="10" a="1"/>
  <c r="P9" i="10"/>
  <c r="P10" i="10" a="1"/>
  <c r="P10" i="10"/>
  <c r="P11" i="10" a="1"/>
  <c r="P11" i="10"/>
  <c r="P12" i="10" a="1"/>
  <c r="P12" i="10"/>
  <c r="P13" i="10" a="1"/>
  <c r="P13" i="10"/>
  <c r="P14" i="10" a="1"/>
  <c r="P14" i="10"/>
  <c r="P15" i="10" a="1"/>
  <c r="P15" i="10"/>
  <c r="P16" i="10" a="1"/>
  <c r="P16" i="10"/>
  <c r="P17" i="10" a="1"/>
  <c r="P17" i="10"/>
  <c r="P18" i="10" a="1"/>
  <c r="P18" i="10"/>
  <c r="P19" i="10" a="1"/>
  <c r="P19" i="10"/>
  <c r="P20" i="10" a="1"/>
  <c r="P20" i="10"/>
  <c r="P21" i="10" a="1"/>
  <c r="P21" i="10"/>
  <c r="P22" i="10" a="1"/>
  <c r="P22" i="10"/>
  <c r="P23" i="10" a="1"/>
  <c r="P23" i="10"/>
  <c r="P24" i="10" a="1"/>
  <c r="P24" i="10"/>
  <c r="P25" i="10" a="1"/>
  <c r="P25" i="10"/>
  <c r="P26" i="10" a="1"/>
  <c r="P26" i="10"/>
  <c r="P27" i="10" a="1"/>
  <c r="P27" i="10"/>
  <c r="P28" i="10" a="1"/>
  <c r="P28" i="10"/>
  <c r="P29" i="10" a="1"/>
  <c r="P29" i="10"/>
  <c r="P30" i="10" a="1"/>
  <c r="P30" i="10"/>
  <c r="P31" i="10" a="1"/>
  <c r="P31" i="10"/>
  <c r="P32" i="10" a="1"/>
  <c r="P32" i="10"/>
  <c r="P33" i="10" a="1"/>
  <c r="P33" i="10"/>
  <c r="P34" i="10" a="1"/>
  <c r="P34" i="10"/>
  <c r="P35" i="10" a="1"/>
  <c r="P35" i="10"/>
  <c r="P36" i="10" a="1"/>
  <c r="P36" i="10"/>
  <c r="P37" i="10" a="1"/>
  <c r="P37" i="10"/>
  <c r="P38" i="10" a="1"/>
  <c r="P38" i="10"/>
  <c r="P39" i="10" a="1"/>
  <c r="P39" i="10"/>
  <c r="P40" i="10" a="1"/>
  <c r="P40" i="10"/>
  <c r="P41" i="10" a="1"/>
  <c r="P41" i="10"/>
  <c r="P42" i="10" a="1"/>
  <c r="P42" i="10"/>
  <c r="P43" i="10" a="1"/>
  <c r="P43" i="10"/>
  <c r="P44" i="10" a="1"/>
  <c r="P44" i="10"/>
  <c r="P45" i="10" a="1"/>
  <c r="P45" i="10"/>
  <c r="P46" i="10" a="1"/>
  <c r="P46" i="10"/>
  <c r="P47" i="10" a="1"/>
  <c r="P47" i="10"/>
  <c r="P48" i="10" a="1"/>
  <c r="P48" i="10"/>
  <c r="P49" i="10" a="1"/>
  <c r="P49" i="10"/>
  <c r="P50" i="10" a="1"/>
  <c r="P50" i="10"/>
  <c r="P51" i="10" a="1"/>
  <c r="P51" i="10"/>
  <c r="P52" i="10" a="1"/>
  <c r="P52" i="10"/>
  <c r="P53" i="10" a="1"/>
  <c r="P53" i="10"/>
  <c r="P54" i="10" a="1"/>
  <c r="P54" i="10"/>
  <c r="P55" i="10" a="1"/>
  <c r="P55" i="10"/>
  <c r="P56" i="10" a="1"/>
  <c r="P56" i="10"/>
  <c r="P57" i="10" a="1"/>
  <c r="P57" i="10"/>
  <c r="P58" i="10" a="1"/>
  <c r="P58" i="10"/>
  <c r="P59" i="10" a="1"/>
  <c r="P59" i="10"/>
  <c r="P60" i="10" a="1"/>
  <c r="P60" i="10"/>
  <c r="P61" i="10" a="1"/>
  <c r="P61" i="10"/>
  <c r="P62" i="10" a="1"/>
  <c r="P62" i="10"/>
  <c r="P63" i="10" a="1"/>
  <c r="P63" i="10"/>
  <c r="P64" i="10" a="1"/>
  <c r="P64" i="10"/>
  <c r="P65" i="10" a="1"/>
  <c r="P65" i="10"/>
  <c r="AA3" i="10" a="1"/>
  <c r="AA3" i="10"/>
  <c r="AE3" i="10"/>
  <c r="AE10" i="10"/>
  <c r="F4" i="15" s="1"/>
  <c r="AC4" i="34" a="1"/>
  <c r="AC4" i="34"/>
  <c r="AC5" i="34" a="1"/>
  <c r="AC5" i="34"/>
  <c r="AC6" i="34" a="1"/>
  <c r="AC6" i="34"/>
  <c r="AC7" i="34" a="1"/>
  <c r="AC7" i="34"/>
  <c r="AC8" i="34" a="1"/>
  <c r="AC8" i="34"/>
  <c r="AC9" i="34" a="1"/>
  <c r="AC9" i="34"/>
  <c r="AC10" i="34" a="1"/>
  <c r="AC10" i="34"/>
  <c r="AC11" i="34" a="1"/>
  <c r="AC11" i="34"/>
  <c r="AC12" i="34" a="1"/>
  <c r="AC12" i="34"/>
  <c r="AC13" i="34" a="1"/>
  <c r="AC13" i="34"/>
  <c r="AC14" i="34" a="1"/>
  <c r="AC14" i="34"/>
  <c r="AC15" i="34" a="1"/>
  <c r="AC15" i="34"/>
  <c r="AC16" i="34" a="1"/>
  <c r="AC16" i="34"/>
  <c r="AC17" i="34" a="1"/>
  <c r="AC17" i="34"/>
  <c r="AC18" i="34" a="1"/>
  <c r="AC18" i="34"/>
  <c r="AC19" i="34" a="1"/>
  <c r="AC19" i="34"/>
  <c r="AC20" i="34" a="1"/>
  <c r="AC20" i="34"/>
  <c r="AC21" i="34" a="1"/>
  <c r="AC21" i="34"/>
  <c r="AC22" i="34" a="1"/>
  <c r="AC22" i="34"/>
  <c r="AC23" i="34" a="1"/>
  <c r="AC23" i="34"/>
  <c r="AC24" i="34" a="1"/>
  <c r="AC24" i="34"/>
  <c r="AD4" i="34" a="1"/>
  <c r="AD4" i="34"/>
  <c r="AG4" i="34"/>
  <c r="AB4" i="34" a="1"/>
  <c r="AB4" i="34"/>
  <c r="AF4" i="34"/>
  <c r="A7" i="34"/>
  <c r="Y3" i="18" l="1" a="1"/>
  <c r="Y3" i="18" s="1"/>
  <c r="AA3" i="18" a="1"/>
  <c r="AA3" i="18" s="1"/>
  <c r="AE3" i="18" s="1"/>
  <c r="Z3" i="18" a="1"/>
  <c r="Z3" i="18" s="1"/>
  <c r="AE4" i="18" l="1"/>
  <c r="AE5" i="18"/>
  <c r="AE6" i="18"/>
  <c r="AE7" i="18"/>
  <c r="AE9" i="18"/>
  <c r="AE10" i="18"/>
  <c r="F4"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Kriegner-Schramml Simon</author>
  </authors>
  <commentList>
    <comment ref="A2" authorId="0" shapeId="0" xr:uid="{DD07DFE0-85D7-4CBD-BB36-1E4F2B74F7D9}">
      <text>
        <r>
          <rPr>
            <b/>
            <sz val="11"/>
            <color indexed="81"/>
            <rFont val="Segoe UI"/>
            <family val="2"/>
          </rPr>
          <t>Hier kann die Bezeichnung der eigenen Mischung angeführt werden</t>
        </r>
      </text>
    </comment>
    <comment ref="E2" authorId="0" shapeId="0" xr:uid="{E2D75D8E-85C2-4213-BC98-D84575D0CA00}">
      <text>
        <r>
          <rPr>
            <b/>
            <sz val="11"/>
            <color indexed="81"/>
            <rFont val="Segoe UI"/>
            <family val="2"/>
          </rPr>
          <t>Hier bitte die geplante Menge je ha angeführen</t>
        </r>
        <r>
          <rPr>
            <sz val="9"/>
            <color indexed="81"/>
            <rFont val="Segoe UI"/>
            <family val="2"/>
          </rPr>
          <t xml:space="preserve">
</t>
        </r>
      </text>
    </comment>
    <comment ref="L3" authorId="0" shapeId="0" xr:uid="{00000000-0006-0000-0100-000001000000}">
      <text>
        <r>
          <rPr>
            <b/>
            <sz val="11"/>
            <color indexed="81"/>
            <rFont val="Segoe UI"/>
            <family val="2"/>
          </rPr>
          <t>bei Zwischenfrüchten mit einem Leguminosenanteil &gt;60% ist ein Vorfruchtwert zu berücksichtigen (ungenutzt: 20 kg N; genutzt 10 kg N); HINWEIS: es zählt Bestand am Feld, dieser Hinweis ist ausschließlich als Orientierungshilfe zu sehen.</t>
        </r>
      </text>
    </comment>
    <comment ref="A4" authorId="0" shapeId="0" xr:uid="{EA02685A-8D9B-493C-92CF-4F179FF4EC66}">
      <text>
        <r>
          <rPr>
            <b/>
            <sz val="10"/>
            <color indexed="81"/>
            <rFont val="Segoe UI"/>
            <family val="2"/>
          </rPr>
          <t>Zur Biofumigation geeignet; gute Deckung uns Äsung für Wild; anspruchslos; blattreich</t>
        </r>
      </text>
    </comment>
    <comment ref="A5" authorId="0" shapeId="0" xr:uid="{66D4B446-E840-4AAA-88B0-EB6E032B15C5}">
      <text>
        <r>
          <rPr>
            <b/>
            <sz val="10"/>
            <color indexed="81"/>
            <rFont val="Segoe UI"/>
            <family val="2"/>
          </rPr>
          <t>hohes Nachwuchsvermögen; im Gemenge mit Gräsern anbauen;gute Bienenweide, gleichmäßige und tiefreichende Durchwurzelung (guter Bodenaufschluss), meist abfrostend;
Empfohlene Mengen in Mischungen je ha: 6 bis 8 kg</t>
        </r>
        <r>
          <rPr>
            <sz val="9"/>
            <color indexed="81"/>
            <rFont val="Segoe UI"/>
            <family val="2"/>
          </rPr>
          <t xml:space="preserve">
</t>
        </r>
      </text>
    </comment>
    <comment ref="A6" authorId="0" shapeId="0" xr:uid="{E0351136-9B35-4C48-BB84-290F2A5159AE}">
      <text>
        <r>
          <rPr>
            <b/>
            <sz val="10"/>
            <color indexed="81"/>
            <rFont val="Segoe UI"/>
            <family val="2"/>
          </rPr>
          <t>2- bis mehrjährig, hoher Grünmasseertrag bei guter Nährstoffversorgung</t>
        </r>
        <r>
          <rPr>
            <sz val="9"/>
            <color indexed="81"/>
            <rFont val="Segoe UI"/>
            <family val="2"/>
          </rPr>
          <t xml:space="preserve">
</t>
        </r>
      </text>
    </comment>
    <comment ref="E6" authorId="0" shapeId="0" xr:uid="{A1D15F8D-485E-4B80-990F-08381A0F2727}">
      <text>
        <r>
          <rPr>
            <b/>
            <sz val="9"/>
            <color indexed="81"/>
            <rFont val="Segoe UI"/>
            <family val="2"/>
          </rPr>
          <t>Empfohlene Mengen in Mischungen je ha:
6 bis 8 kg</t>
        </r>
      </text>
    </comment>
    <comment ref="A7" authorId="0" shapeId="0" xr:uid="{67DA797D-0A9E-496D-9B03-8EF85BDC85FB}">
      <text>
        <r>
          <rPr>
            <b/>
            <sz val="9"/>
            <color indexed="81"/>
            <rFont val="Segoe UI"/>
            <family val="2"/>
          </rPr>
          <t>bitterstoffhältig, sehr gut geeignet als Begrünungspflanze in Mischungen, kräftige Pfahlwurzel, geringe Standortsansprüche (leicht saurer pH-Wert)</t>
        </r>
      </text>
    </comment>
    <comment ref="A8" authorId="0" shapeId="0" xr:uid="{7E5C5FEF-B41C-48C9-BCB1-661BC1957FC7}">
      <text>
        <r>
          <rPr>
            <b/>
            <sz val="9"/>
            <color indexed="81"/>
            <rFont val="Segoe UI"/>
            <family val="2"/>
          </rPr>
          <t>Knöterichgewächs, nematodenneutral, wüchsige, kurzlebige, anspruchslose Pflanze, geringes Durchwurzelungsvermögen, gute Bodenbedeckung, Wildäsungspflanze, Bienenweide, frostempfindlich, Achtung: bildet sehr rasch Samen;
Empfohlene Mengen in Mischungen je ha: 10 bis 15 kg</t>
        </r>
      </text>
    </comment>
    <comment ref="E9" authorId="0" shapeId="0" xr:uid="{F8F82085-E326-45B6-B426-79B37548B8EC}">
      <text>
        <r>
          <rPr>
            <b/>
            <sz val="10"/>
            <color indexed="81"/>
            <rFont val="Segoe UI"/>
            <family val="2"/>
          </rPr>
          <t>Empfohlene Mengen in Mischungen je ha:
10 bis 15 kg</t>
        </r>
        <r>
          <rPr>
            <sz val="9"/>
            <color indexed="81"/>
            <rFont val="Segoe UI"/>
            <family val="2"/>
          </rPr>
          <t xml:space="preserve">
</t>
        </r>
      </text>
    </comment>
    <comment ref="A10" authorId="0" shapeId="0" xr:uid="{713EA3FD-8D43-4122-BA1A-DDED75EC2554}">
      <text>
        <r>
          <rPr>
            <b/>
            <sz val="10"/>
            <color indexed="81"/>
            <rFont val="Segoe UI"/>
            <family val="2"/>
          </rPr>
          <t>schnellwüchsig - Ca. 6-8 Wochen nach der Aussaat schnittreif,sehr hoher Futterertrag; hoher Energiegehalt und gut silierbar, nematodenneutral; bei Nutzung vor Beginn des Ährenschiebens (einjährig); ideal im Gemenge mit Alexandrinerklee und/oder Persischem Klee</t>
        </r>
      </text>
    </comment>
    <comment ref="E10" authorId="0" shapeId="0" xr:uid="{9E9691C4-44C5-4B77-8D01-3EAC5C07FA36}">
      <text>
        <r>
          <rPr>
            <b/>
            <sz val="10"/>
            <color indexed="81"/>
            <rFont val="Segoe UI"/>
            <family val="2"/>
          </rPr>
          <t>Empfohlene Mengen in Mischungen je ha:
10 bis 15 kg</t>
        </r>
      </text>
    </comment>
    <comment ref="A11" authorId="0" shapeId="0" xr:uid="{67B6E0B7-187A-4623-8BE1-D2889B3A4CC5}">
      <text>
        <r>
          <rPr>
            <b/>
            <sz val="10"/>
            <color indexed="81"/>
            <rFont val="Segoe UI"/>
            <family val="2"/>
          </rPr>
          <t>Ausdauerndste Form der Raygräser, mehrjährig, kein Sklerotiniaüberträger, intensive Durchwurzelung der oberen Bodenschicht</t>
        </r>
      </text>
    </comment>
    <comment ref="A12" authorId="0" shapeId="0" xr:uid="{6B357CC2-0A40-42B5-8F78-9345544EB3E0}">
      <text>
        <r>
          <rPr>
            <b/>
            <sz val="9"/>
            <color indexed="81"/>
            <rFont val="Segoe UI"/>
            <family val="2"/>
          </rPr>
          <t>sehr gute Gründüngungspflanze, wenn sie mehrere Jahre auf dem gleichen Standort stehen kann, sehr gute Durchwurzelung des Oberbodens, Pflanze ist klimaunempfindlich, kalkreiche Böden notwendig</t>
        </r>
        <r>
          <rPr>
            <sz val="9"/>
            <color indexed="81"/>
            <rFont val="Segoe UI"/>
            <family val="2"/>
          </rPr>
          <t xml:space="preserve">
</t>
        </r>
      </text>
    </comment>
    <comment ref="A13" authorId="0" shapeId="0" xr:uid="{23704339-B44F-4CF7-9AF7-0EB045D36A2F}">
      <text>
        <r>
          <rPr>
            <b/>
            <sz val="10"/>
            <color indexed="81"/>
            <rFont val="Segoe UI"/>
            <family val="2"/>
          </rPr>
          <t>Eiweißreiches Grünfutter - erntereif zur Grünverfütterung nach Erreichen der Vollblüte, sobald die untersten Hülsen ausgebildet sind, Anbau mit Stützfrucht</t>
        </r>
      </text>
    </comment>
    <comment ref="A14" authorId="0" shapeId="0" xr:uid="{887E73DA-A754-4A73-B8BC-91C0DC8D3AD2}">
      <text>
        <r>
          <rPr>
            <b/>
            <sz val="10"/>
            <color indexed="81"/>
            <rFont val="Segoe UI"/>
            <family val="2"/>
          </rPr>
          <t>Gutes Futter, speziell für Wild sehr gut geeignet; hohe Winterfestigkeit, aber nicht mehrjährig</t>
        </r>
      </text>
    </comment>
    <comment ref="A15" authorId="0" shapeId="0" xr:uid="{21A21E15-2C46-4375-9B92-307F3A1C722B}">
      <text>
        <r>
          <rPr>
            <b/>
            <sz val="10"/>
            <color indexed="81"/>
            <rFont val="Segoe UI"/>
            <family val="2"/>
          </rPr>
          <t>Leguminose, für magere Böden, anspruchslos, trockenresistent, eher niederliegend - nur im Gemenge sinnvoll</t>
        </r>
      </text>
    </comment>
    <comment ref="A16" authorId="0" shapeId="0" xr:uid="{D57D751D-E5EE-4628-BAFB-39EC3D63BC4F}">
      <text>
        <r>
          <rPr>
            <b/>
            <sz val="10"/>
            <color indexed="81"/>
            <rFont val="Segoe UI"/>
            <family val="2"/>
          </rPr>
          <t>anspruchslos, raschwüchsig, geeignet für Futternutzung, spätsaatverträglich! gute Frühjahrsschnitte (vor Maisanbau möglich)</t>
        </r>
      </text>
    </comment>
    <comment ref="A20" authorId="0" shapeId="0" xr:uid="{CF4B17C2-7158-4223-A70B-6E102B429A5F}">
      <text>
        <r>
          <rPr>
            <b/>
            <sz val="10"/>
            <color indexed="81"/>
            <rFont val="Segoe UI"/>
            <family val="2"/>
          </rPr>
          <t>Gegen Kälte und Trockenheit sehr widerstandsfähig. Kalkhaltige und trockene Standorte bevorzugt. Pfahlwurzel mit verzweigten Seiten- und vielen Feinwurzeln; niedriger Wuchs; sehr ausdauernd; nur im Gemenge sinnvoll</t>
        </r>
      </text>
    </comment>
    <comment ref="A21" authorId="0" shapeId="0" xr:uid="{9BC29A52-59A5-4249-96DF-2CF9735B23D4}">
      <text>
        <r>
          <rPr>
            <b/>
            <sz val="10"/>
            <color indexed="81"/>
            <rFont val="Segoe UI"/>
            <family val="2"/>
          </rPr>
          <t>Leguminose, spätsaatverträglich, raschwüchsig, gute Unkrautunterdrückung, gute Vorfruchtwirkung, meist überwinternd, Pfahlwurzel. Hervorragender Gemengepartner in Winterzwischenfrüchten (schnellen Durchwurzelung).
Achtung: mit sich selbst nicht gut verträglich (Anbaupausen!)</t>
        </r>
      </text>
    </comment>
    <comment ref="A22" authorId="0" shapeId="0" xr:uid="{B6947E3F-8DDA-4ABA-A8E8-92339EF51E90}">
      <text>
        <r>
          <rPr>
            <b/>
            <sz val="10"/>
            <color indexed="81"/>
            <rFont val="Segoe UI"/>
            <family val="2"/>
          </rPr>
          <t>kein Sklerotiniaüberträger, eignet sich für Frischverfütterung, geeignet für Heu- und Silagebereitung, guter N-Verwerter;
überwintert in milderen Lagen</t>
        </r>
      </text>
    </comment>
    <comment ref="A23" authorId="0" shapeId="0" xr:uid="{94B271F8-5A59-4C29-9D1F-DC3E112CC1F4}">
      <text>
        <r>
          <rPr>
            <b/>
            <sz val="10"/>
            <color indexed="81"/>
            <rFont val="Segoe UI"/>
            <family val="2"/>
          </rPr>
          <t>Kreuzblütler - Fruchfolge beachten; Wirtspflanzen des Rybenzystennematoden;
schneller Aufgang, trockenheitsverträglich, auch für schwere, nasse Böden geeignet, nicht verträglich mit Senf;
Empfohlene Mengen in Mischungen je ha: 0,5 bis 1,5 kg</t>
        </r>
        <r>
          <rPr>
            <sz val="9"/>
            <color indexed="81"/>
            <rFont val="Segoe UI"/>
            <family val="2"/>
          </rPr>
          <t xml:space="preserve">
</t>
        </r>
      </text>
    </comment>
    <comment ref="E23" authorId="0" shapeId="0" xr:uid="{D1B5AC66-4E8F-4821-9100-FA41B10DCCF3}">
      <text>
        <r>
          <rPr>
            <b/>
            <sz val="9"/>
            <color indexed="81"/>
            <rFont val="Segoe UI"/>
            <family val="2"/>
          </rPr>
          <t>Empfohlene Mengen in Mischungen je ha:
0,5 bis 1,5 kg</t>
        </r>
        <r>
          <rPr>
            <sz val="9"/>
            <color indexed="81"/>
            <rFont val="Segoe UI"/>
            <family val="2"/>
          </rPr>
          <t xml:space="preserve">
</t>
        </r>
      </text>
    </comment>
    <comment ref="A24" authorId="0" shapeId="0" xr:uid="{9A984215-AF27-4698-A40D-D41C0893AA3A}">
      <text>
        <r>
          <rPr>
            <b/>
            <sz val="10"/>
            <color indexed="81"/>
            <rFont val="Segoe UI"/>
            <family val="2"/>
          </rPr>
          <t xml:space="preserve">hoher Eiweißgehalt, einjährige Leguminose mit Pfahlwurzel
</t>
        </r>
      </text>
    </comment>
    <comment ref="A25" authorId="0" shapeId="0" xr:uid="{CDEA4EB7-59AE-4F7B-9F5C-2FA6DBB9CFAC}">
      <text>
        <r>
          <rPr>
            <b/>
            <sz val="10"/>
            <color indexed="81"/>
            <rFont val="Segoe UI"/>
            <family val="2"/>
          </rPr>
          <t>sehr hoher Masseertrag, tiefreichende Pfahlwurzel, fruchtfolgeneutral, Wildäsungspflanze, eventuell Probleme als Unkraut in Nachfrucht</t>
        </r>
      </text>
    </comment>
    <comment ref="A26" authorId="0" shapeId="0" xr:uid="{01173CB4-935B-4710-87A4-A58E02EE9A37}">
      <text>
        <r>
          <rPr>
            <b/>
            <sz val="10"/>
            <color indexed="81"/>
            <rFont val="Segoe UI"/>
            <family val="2"/>
          </rPr>
          <t>Kreuzblütler - Fruchtfolge beachten: nicht selbstverträglich und nicht vor oder nach Kreuzblütlern anbauen;
langsame Jugendentwicklung, feines Wurzelwerk, wenig Masse</t>
        </r>
      </text>
    </comment>
    <comment ref="A27" authorId="0" shapeId="0" xr:uid="{A7E7D645-C001-427D-B89B-777F8535A1A4}">
      <text>
        <r>
          <rPr>
            <b/>
            <sz val="10"/>
            <color indexed="81"/>
            <rFont val="Segoe UI"/>
            <family val="2"/>
          </rPr>
          <t>Keine feuchten Böden, trockenheitsverträglich, frostet sicher ab, daher ist ein Partner mit einem schnellen Aufgang wichtig. Streufähig.</t>
        </r>
      </text>
    </comment>
    <comment ref="A28" authorId="0" shapeId="0" xr:uid="{37DED7E0-6853-450A-B254-EE45AC08708B}">
      <text>
        <r>
          <rPr>
            <b/>
            <sz val="10"/>
            <color indexed="81"/>
            <rFont val="Segoe UI"/>
            <family val="2"/>
          </rPr>
          <t>"Königin der Futterpflanzen", Wertvolle Futterleguminose mit hohem Eiweißgehalt. Kalkhaltige, tiefgründige Böden werden bevorzugt. pH -Wert um 6,5 erforderlich, verträgt keine stauende Nässe. Saatgut vor der Saat zu inokulieren.</t>
        </r>
      </text>
    </comment>
    <comment ref="A29" authorId="0" shapeId="0" xr:uid="{44A55FB1-9327-4DE6-8825-19CB70112295}">
      <text>
        <r>
          <rPr>
            <b/>
            <sz val="9"/>
            <color indexed="81"/>
            <rFont val="Segoe UI"/>
            <family val="2"/>
          </rPr>
          <t>rasche Entwicklung, wenig oberirdische Masse, verholzt nicht, kräftige Pfahlwurzel mit guter Tiefenlockerung, frostet ab und hinterlässt im Frühjahr nur kleine runde Löcher; nicht für Schotterböden geeignet, frostet bei -10C ab
Empfohlene Mengen in Mischungen je ha: 1 bis 1,5 kg</t>
        </r>
      </text>
    </comment>
    <comment ref="E29" authorId="0" shapeId="0" xr:uid="{DF6F0354-EBB2-4A03-982D-151563431B0E}">
      <text>
        <r>
          <rPr>
            <b/>
            <sz val="9"/>
            <color indexed="81"/>
            <rFont val="Segoe UI"/>
            <family val="2"/>
          </rPr>
          <t>Empfohlene Mengen in Mischungen je ha:
1 bis 1,5 kg</t>
        </r>
        <r>
          <rPr>
            <sz val="9"/>
            <color indexed="81"/>
            <rFont val="Segoe UI"/>
            <family val="2"/>
          </rPr>
          <t xml:space="preserve">
</t>
        </r>
      </text>
    </comment>
    <comment ref="A30" authorId="0" shapeId="0" xr:uid="{0C17E4D1-1920-45F0-A464-06C5808F65B1}">
      <text>
        <r>
          <rPr>
            <b/>
            <sz val="10"/>
            <color indexed="81"/>
            <rFont val="Segoe UI"/>
            <family val="2"/>
          </rPr>
          <t xml:space="preserve">gut abfrostend bzw. frostempfindlich, trockenheitsverträglich, geeignet für Mulchsaat, rasche Jugendentwicklung;
</t>
        </r>
        <r>
          <rPr>
            <b/>
            <u/>
            <sz val="10"/>
            <color indexed="81"/>
            <rFont val="Segoe UI"/>
            <family val="2"/>
          </rPr>
          <t>Fruchtfolge beachten:</t>
        </r>
        <r>
          <rPr>
            <b/>
            <sz val="10"/>
            <color indexed="81"/>
            <rFont val="Segoe UI"/>
            <family val="2"/>
          </rPr>
          <t xml:space="preserve"> als Korbblütler mit der Sonnenblume verwandt, Vermehrungspotential für Sclerotinia gegeben;
Empfohlene Mengen in Mischungen je ha: 0,5 bis 0,8 kg</t>
        </r>
      </text>
    </comment>
    <comment ref="E30" authorId="0" shapeId="0" xr:uid="{90E731C5-858C-4099-BE22-45CB7C693610}">
      <text>
        <r>
          <rPr>
            <b/>
            <sz val="9"/>
            <color indexed="81"/>
            <rFont val="Segoe UI"/>
            <family val="2"/>
          </rPr>
          <t>Empfohlene Mengen in Mischungen je ha:
0,5 bis 0,8 kg</t>
        </r>
        <r>
          <rPr>
            <sz val="9"/>
            <color indexed="81"/>
            <rFont val="Segoe UI"/>
            <family val="2"/>
          </rPr>
          <t xml:space="preserve">
</t>
        </r>
      </text>
    </comment>
    <comment ref="A31" authorId="0" shapeId="0" xr:uid="{A2CA9F7D-EE29-4778-A427-0B0CA53D0325}">
      <text>
        <r>
          <rPr>
            <b/>
            <sz val="10"/>
            <color indexed="81"/>
            <rFont val="Segoe UI"/>
            <family val="2"/>
          </rPr>
          <t>lange Blütezeit - Nahrungsangebot für bestäubende Insekten;
Empfohlene Mengen in Mischungen je ha: 3 bis 4 kg</t>
        </r>
      </text>
    </comment>
    <comment ref="A32" authorId="0" shapeId="0" xr:uid="{CE4E8D8C-3CB8-4960-B3CD-ECEDC1AA94C7}">
      <text>
        <r>
          <rPr>
            <b/>
            <sz val="10"/>
            <color indexed="81"/>
            <rFont val="Segoe UI"/>
            <family val="2"/>
          </rPr>
          <t>anspruchslose, raschwüchsige Pflanze, trockenheitstolerant,</t>
        </r>
        <r>
          <rPr>
            <b/>
            <sz val="9"/>
            <color indexed="81"/>
            <rFont val="Segoe UI"/>
            <family val="2"/>
          </rPr>
          <t xml:space="preserve"> </t>
        </r>
        <r>
          <rPr>
            <b/>
            <sz val="10"/>
            <color indexed="81"/>
            <rFont val="Segoe UI"/>
            <family val="2"/>
          </rPr>
          <t xml:space="preserve">tiefreichende Pfahlwurzel, große Massenentwicklung; bei sehr spätem Anbau besteht die Gefahr dass er nicht abfrostet und im Frühjahr wieder austreibt. -  frühe Saat und dichte Bestände verringern die Rettichbildung
</t>
        </r>
        <r>
          <rPr>
            <b/>
            <u/>
            <sz val="10"/>
            <color indexed="81"/>
            <rFont val="Segoe UI"/>
            <family val="2"/>
          </rPr>
          <t xml:space="preserve">Achtung: in kreuzblütlerbetonten Fruchtfolgen ungeeignet! </t>
        </r>
        <r>
          <rPr>
            <b/>
            <sz val="10"/>
            <color indexed="81"/>
            <rFont val="Segoe UI"/>
            <family val="2"/>
          </rPr>
          <t xml:space="preserve">
Empfohlene Mengen in Mischungen je ha: 2 bis 5 kg</t>
        </r>
        <r>
          <rPr>
            <b/>
            <sz val="9"/>
            <color indexed="81"/>
            <rFont val="Segoe UI"/>
            <family val="2"/>
          </rPr>
          <t xml:space="preserve">
</t>
        </r>
        <r>
          <rPr>
            <sz val="9"/>
            <color indexed="81"/>
            <rFont val="Segoe UI"/>
            <family val="2"/>
          </rPr>
          <t xml:space="preserve">
</t>
        </r>
      </text>
    </comment>
    <comment ref="E32" authorId="0" shapeId="0" xr:uid="{54D7FEB8-656E-414C-8D28-5B8E804C508C}">
      <text>
        <r>
          <rPr>
            <b/>
            <sz val="9"/>
            <color indexed="81"/>
            <rFont val="Segoe UI"/>
            <family val="2"/>
          </rPr>
          <t>Empfohlene Mengen in Mischungen je ha:
2 bis 5 kg</t>
        </r>
        <r>
          <rPr>
            <sz val="9"/>
            <color indexed="81"/>
            <rFont val="Segoe UI"/>
            <family val="2"/>
          </rPr>
          <t xml:space="preserve">
</t>
        </r>
      </text>
    </comment>
    <comment ref="A33" authorId="0" shapeId="0" xr:uid="{E796A3FD-B1B8-492F-AF7C-1F906849E076}">
      <text>
        <r>
          <rPr>
            <b/>
            <sz val="10"/>
            <color indexed="81"/>
            <rFont val="Segoe UI"/>
            <family val="2"/>
          </rPr>
          <t xml:space="preserve">anspruchslose, raschwüchsige Pflanze, trockenheitstolerant, tiefreichende Pfahlwurzel, große Massenentwicklung; bei sehr spätem Anbau besteht die Gefahr dass er nicht abfrostet und im Frühjahr wieder austreibt. -  frühe Saat und dichte Bestände verringern die Rettichbildung
</t>
        </r>
        <r>
          <rPr>
            <b/>
            <u/>
            <sz val="10"/>
            <color indexed="81"/>
            <rFont val="Segoe UI"/>
            <family val="2"/>
          </rPr>
          <t>Achtung: in kreuzblütlerbetonten Fruchtfolgen ungeeignet!</t>
        </r>
        <r>
          <rPr>
            <b/>
            <sz val="10"/>
            <color indexed="81"/>
            <rFont val="Segoe UI"/>
            <family val="2"/>
          </rPr>
          <t xml:space="preserve"> 
Empfohlene Mengen in Mischungen je ha: 2 bis 5 kg</t>
        </r>
        <r>
          <rPr>
            <sz val="9"/>
            <color indexed="81"/>
            <rFont val="Segoe UI"/>
            <family val="2"/>
          </rPr>
          <t xml:space="preserve">
</t>
        </r>
      </text>
    </comment>
    <comment ref="E33" authorId="0" shapeId="0" xr:uid="{19D09F33-CDB9-4F91-95E5-8FD1654F6510}">
      <text>
        <r>
          <rPr>
            <b/>
            <sz val="9"/>
            <color indexed="81"/>
            <rFont val="Segoe UI"/>
            <family val="2"/>
          </rPr>
          <t>Empfohlene Mengen in Mischungen je ha:
2 bis 5 kg</t>
        </r>
        <r>
          <rPr>
            <sz val="9"/>
            <color indexed="81"/>
            <rFont val="Segoe UI"/>
            <family val="2"/>
          </rPr>
          <t xml:space="preserve">
</t>
        </r>
      </text>
    </comment>
    <comment ref="A34" authorId="0" shapeId="0" xr:uid="{7637F0BB-64F2-41A3-94C8-BC4615EA8612}">
      <text>
        <r>
          <rPr>
            <b/>
            <sz val="10"/>
            <color indexed="81"/>
            <rFont val="Segoe UI"/>
            <family val="2"/>
          </rPr>
          <t xml:space="preserve">bevorzugt wasserreiche, warme Standorte, Durchwurzelungsvermögen bis 25 cm, guter Mischungspartner mit Gräsern, für ausreichende Entwicklung frühe Aussaat notwendig! Bienenweide, geringe Krankheitsanfälligkeit, </t>
        </r>
        <r>
          <rPr>
            <b/>
            <u/>
            <sz val="10"/>
            <color indexed="81"/>
            <rFont val="Segoe UI"/>
            <family val="2"/>
          </rPr>
          <t xml:space="preserve">Fruchtfolge beachten: vermehrt eine Unterart des Rübenzystennematoden </t>
        </r>
        <r>
          <rPr>
            <b/>
            <sz val="10"/>
            <color indexed="81"/>
            <rFont val="Segoe UI"/>
            <family val="2"/>
          </rPr>
          <t xml:space="preserve">
Empfohlene Mengen in Mischungen je ha: 6 bis 8 kg</t>
        </r>
      </text>
    </comment>
    <comment ref="E34" authorId="0" shapeId="0" xr:uid="{9DB3196A-7342-4FC1-B25C-DD4709B3BF53}">
      <text>
        <r>
          <rPr>
            <b/>
            <sz val="9"/>
            <color indexed="81"/>
            <rFont val="Segoe UI"/>
            <family val="2"/>
          </rPr>
          <t>Empfohlene Mengen in Mischungen je ha:
6 bis 8 kg</t>
        </r>
        <r>
          <rPr>
            <sz val="9"/>
            <color indexed="81"/>
            <rFont val="Segoe UI"/>
            <family val="2"/>
          </rPr>
          <t xml:space="preserve">
</t>
        </r>
      </text>
    </comment>
    <comment ref="A35" authorId="0" shapeId="0" xr:uid="{1B3095C2-3444-4719-87A6-67D2AA420503}">
      <text>
        <r>
          <rPr>
            <b/>
            <sz val="10"/>
            <color indexed="81"/>
            <rFont val="Segoe UI"/>
            <family val="2"/>
          </rPr>
          <t>Pfahlwurzel mit seitlichen Feinwurzeln, kalte Standorte meiden, fruchtfolge- u. nematodenneutral (Wasserblattgewächs), trockenheitsresistent.
Nicht in Kartoffelfruchtfolgen, da sie das Rattlevirus übertragen kann. 
Empfohlene Mengen in Mischungen je ha: 2 bis 4 kg</t>
        </r>
      </text>
    </comment>
    <comment ref="E35" authorId="0" shapeId="0" xr:uid="{DC68F610-990A-4A58-B738-C2F586CD73EE}">
      <text>
        <r>
          <rPr>
            <b/>
            <sz val="9"/>
            <color indexed="81"/>
            <rFont val="Segoe UI"/>
            <family val="2"/>
          </rPr>
          <t>Empfohlene Mengen in Mischungen je ha:
2 bis 4 kg</t>
        </r>
        <r>
          <rPr>
            <sz val="9"/>
            <color indexed="81"/>
            <rFont val="Segoe UI"/>
            <family val="2"/>
          </rPr>
          <t xml:space="preserve">
</t>
        </r>
      </text>
    </comment>
    <comment ref="A36" authorId="0" shapeId="0" xr:uid="{5F1F86B3-19A9-422C-A334-ED6F226D745F}">
      <text>
        <r>
          <rPr>
            <b/>
            <sz val="10"/>
            <color indexed="81"/>
            <rFont val="Segoe UI"/>
            <family val="2"/>
          </rPr>
          <t>bildet Neurotoxin - Verringerung der Schnecken (moluskizide Wirkung) und Blattläuse (insektizide Wirkung). Trockenheitsverträglich, sehr hohes N-Bindungsvermögen (daher nur in Mischungen verwenden).</t>
        </r>
        <r>
          <rPr>
            <sz val="9"/>
            <color indexed="81"/>
            <rFont val="Segoe UI"/>
            <family val="2"/>
          </rPr>
          <t xml:space="preserve">
</t>
        </r>
      </text>
    </comment>
    <comment ref="A37" authorId="0" shapeId="0" xr:uid="{245917A5-1FED-4D22-A2BE-AB7A84EA1B54}">
      <text>
        <r>
          <rPr>
            <b/>
            <sz val="10"/>
            <color indexed="81"/>
            <rFont val="Segoe UI"/>
            <family val="2"/>
          </rPr>
          <t>Sehr gutes Durchwurzelungsvermögen, unempfindlich gegen trockene Witterung, fruchtfolgeneutral, hinterlässt sehr guten Boden, stark stickstoffaneignend, sollte nicht abblühen, vorher schlegeln</t>
        </r>
      </text>
    </comment>
    <comment ref="A38" authorId="0" shapeId="0" xr:uid="{DA88544F-301D-4A8B-878C-89FD4AA592DB}">
      <text>
        <r>
          <rPr>
            <b/>
            <sz val="10"/>
            <color indexed="81"/>
            <rFont val="Segoe UI"/>
            <family val="2"/>
          </rPr>
          <t xml:space="preserve">ertragreiche, eiweißreiche, winterharte und ausdauernde Futterleguminose, für kühlere und feuchte Lagen. Pfahlwurzel mit stark verzweigten Nebenwurzeln, für über- und mehrjährige Gemenge sowie Rotationsbrache geeignet.
</t>
        </r>
        <r>
          <rPr>
            <b/>
            <u/>
            <sz val="10"/>
            <color indexed="81"/>
            <rFont val="Segoe UI"/>
            <family val="2"/>
          </rPr>
          <t>Fruchtfolge:</t>
        </r>
        <r>
          <rPr>
            <b/>
            <sz val="10"/>
            <color indexed="81"/>
            <rFont val="Segoe UI"/>
            <family val="2"/>
          </rPr>
          <t xml:space="preserve"> Guter Vorfruchtwert für Folgekulturen, jedoch wenig selbstverträglich, Anbaupause 4-6 Jahre.</t>
        </r>
      </text>
    </comment>
    <comment ref="A39" authorId="0" shapeId="0" xr:uid="{A0181221-97AE-47D3-9FAD-F5C64151B705}">
      <text>
        <r>
          <rPr>
            <b/>
            <sz val="10"/>
            <color indexed="81"/>
            <rFont val="Segoe UI"/>
            <family val="2"/>
          </rPr>
          <t>rasche Jugendentwicklung, höheres Stickstoffbildungsvermögen und intensivere Durchwurzelung als Futtererbse, für trockene Standorte geeignet, niedriger Wuchs, hohe Massenentwicklung, bevorzugt bindige, kalkreiche Böden, Wildäsungspflanze. Streufähig.</t>
        </r>
        <r>
          <rPr>
            <sz val="9"/>
            <color indexed="81"/>
            <rFont val="Segoe UI"/>
            <family val="2"/>
          </rPr>
          <t xml:space="preserve">
</t>
        </r>
      </text>
    </comment>
    <comment ref="A40" authorId="0" shapeId="0" xr:uid="{1509D4DB-D7E4-4BC3-92CD-BF807F9EFA24}">
      <text>
        <r>
          <rPr>
            <b/>
            <sz val="10"/>
            <color indexed="81"/>
            <rFont val="Segoe UI"/>
            <family val="2"/>
          </rPr>
          <t>rasche Jugendentwicklung, gute Unkrautunterdrückung, bevorzugt mittlere und schwere kalkhältige Lehmböden, gutes Durchwurzelungsvermögen - intensives schnellwachsendes Wurzelwerk (Feinwurzler) fördert Bodengare, trockenheitsresistent, niedriger Wuchs, eiweißreiches Grünfutter, 
Empfohlene Mengen in Mischungen je ha: 10 bis 20 kg</t>
        </r>
        <r>
          <rPr>
            <sz val="10"/>
            <color indexed="81"/>
            <rFont val="Segoe UI"/>
            <family val="2"/>
          </rPr>
          <t xml:space="preserve">
</t>
        </r>
      </text>
    </comment>
    <comment ref="E40" authorId="0" shapeId="0" xr:uid="{340F9617-C7A1-43C8-A4AA-6807A2657268}">
      <text>
        <r>
          <rPr>
            <b/>
            <sz val="9"/>
            <color indexed="81"/>
            <rFont val="Segoe UI"/>
            <family val="2"/>
          </rPr>
          <t>Empfohlene Mengen in Mischungen je ha:
10 bis 20 kg</t>
        </r>
        <r>
          <rPr>
            <sz val="9"/>
            <color indexed="81"/>
            <rFont val="Segoe UI"/>
            <family val="2"/>
          </rPr>
          <t xml:space="preserve">
</t>
        </r>
      </text>
    </comment>
    <comment ref="A41" authorId="0" shapeId="0" xr:uid="{4C4F8CD4-73FD-4C6D-8090-0F888B46DE66}">
      <text>
        <r>
          <rPr>
            <b/>
            <sz val="10"/>
            <color indexed="81"/>
            <rFont val="Segoe UI"/>
            <family val="2"/>
          </rPr>
          <t>Korbblütler, Tiefwurzler, frostet sicher ab</t>
        </r>
      </text>
    </comment>
    <comment ref="A42" authorId="0" shapeId="0" xr:uid="{A16DE558-66A4-4C79-BC81-D8FC393453EC}">
      <text>
        <r>
          <rPr>
            <b/>
            <sz val="10"/>
            <color indexed="81"/>
            <rFont val="Segoe UI"/>
            <family val="2"/>
          </rPr>
          <t>Sandhafer gedeiht auf allen Bodenarten und durchwurzelt den Boden optimal. Der dichte Aufwuchs bringt schnell große Mengen an organischer Masse, die auch als Silage für die Viehfütterung nutzbar ist. Fruchtfolgeneutral. Sorte PRATEX zur Bekämpfung von Pratylenchus penetrans (Wurzelläsionsälchen).
Empfohlene Mengen in Mischungen je ha: 20 bis 40 kg</t>
        </r>
      </text>
    </comment>
    <comment ref="E42" authorId="0" shapeId="0" xr:uid="{F5E11A21-1401-4219-ADB2-19888DE89378}">
      <text>
        <r>
          <rPr>
            <b/>
            <sz val="9"/>
            <color indexed="81"/>
            <rFont val="Segoe UI"/>
            <family val="2"/>
          </rPr>
          <t>Empfohlene Mengen in Mischungen je ha:
20 bis 40 kg</t>
        </r>
        <r>
          <rPr>
            <sz val="9"/>
            <color indexed="81"/>
            <rFont val="Segoe UI"/>
            <family val="2"/>
          </rPr>
          <t xml:space="preserve">
</t>
        </r>
      </text>
    </comment>
    <comment ref="A43" authorId="0" shapeId="0" xr:uid="{F4884DDA-EF50-43E6-ACC8-02C9BAC30D34}">
      <text>
        <r>
          <rPr>
            <b/>
            <sz val="10"/>
            <color indexed="81"/>
            <rFont val="Segoe UI"/>
            <family val="2"/>
          </rPr>
          <t>bessere Durchwurzelung als Senf, Bodenstrukturverbesserung durch kräftiges, tiefreichendes Wurzelwerk, geringe Blühneigung, gute Silageeignung. Streufähig.</t>
        </r>
        <r>
          <rPr>
            <sz val="9"/>
            <color indexed="81"/>
            <rFont val="Segoe UI"/>
            <family val="2"/>
          </rPr>
          <t xml:space="preserve">
</t>
        </r>
      </text>
    </comment>
    <comment ref="A45" authorId="0" shapeId="0" xr:uid="{53640D38-478C-4974-A82B-1CBD6C8B0B8A}">
      <text>
        <r>
          <rPr>
            <b/>
            <sz val="9"/>
            <color indexed="81"/>
            <rFont val="Segoe UI"/>
            <family val="2"/>
          </rPr>
          <t>Empfohlene Mengen in Mischungen je ha:
0,25 bis 0,5 kg</t>
        </r>
        <r>
          <rPr>
            <sz val="9"/>
            <color indexed="81"/>
            <rFont val="Segoe UI"/>
            <family val="2"/>
          </rPr>
          <t xml:space="preserve">
</t>
        </r>
      </text>
    </comment>
    <comment ref="E45" authorId="0" shapeId="0" xr:uid="{076270E0-F51B-4576-B894-C0B3D68DFFE8}">
      <text>
        <r>
          <rPr>
            <b/>
            <sz val="9"/>
            <color indexed="81"/>
            <rFont val="Segoe UI"/>
            <family val="2"/>
          </rPr>
          <t>Empfohlene Mengen in Mischungen je ha:
0,25 bis 0,5 kg</t>
        </r>
        <r>
          <rPr>
            <sz val="9"/>
            <color indexed="81"/>
            <rFont val="Segoe UI"/>
            <family val="2"/>
          </rPr>
          <t xml:space="preserve">
</t>
        </r>
      </text>
    </comment>
    <comment ref="A46" authorId="0" shapeId="0" xr:uid="{616752B3-6BFC-4FB4-9BB4-268F0E263228}">
      <text>
        <r>
          <rPr>
            <b/>
            <sz val="10"/>
            <color indexed="81"/>
            <rFont val="Segoe UI"/>
            <family val="2"/>
          </rPr>
          <t>Kreuzblütler, nematodenresistent bei rechtzeitigem Anbau - ideal bei Zuckerrübenfruchtfolge, schnelle Jugendentwicklung</t>
        </r>
      </text>
    </comment>
    <comment ref="A47" authorId="0" shapeId="0" xr:uid="{EAA9CE5D-BD2E-428C-97BD-F0129760941C}">
      <text>
        <r>
          <rPr>
            <b/>
            <sz val="10"/>
            <color indexed="81"/>
            <rFont val="Segoe UI"/>
            <family val="2"/>
          </rPr>
          <t>rasche Keimung, hohe Blattmasse, rasche Bodenbedeckung, nährstoffreiches Futter, gute Durchwurzelung, Anbaupausen einhalten (Kohlhernie), Achtung bei Zuckerrübe als Fruchtfolgeglied (Nematoden!). Streufähig.</t>
        </r>
        <r>
          <rPr>
            <b/>
            <sz val="9"/>
            <color indexed="81"/>
            <rFont val="Segoe UI"/>
            <family val="2"/>
          </rPr>
          <t xml:space="preserve">
</t>
        </r>
      </text>
    </comment>
    <comment ref="A48" authorId="0" shapeId="0" xr:uid="{D4E26C9C-B697-456F-A842-C5EE92EE466D}">
      <text>
        <r>
          <rPr>
            <b/>
            <sz val="10"/>
            <color indexed="81"/>
            <rFont val="Segoe UI"/>
            <family val="2"/>
          </rPr>
          <t>Spätsaatverträgliche ZWF, schneller Wuchs, friet sicher ab;
Empfohlene Mengen in Mischungen je ha: 0,5 bis 1,5 kg</t>
        </r>
      </text>
    </comment>
    <comment ref="A49" authorId="0" shapeId="0" xr:uid="{16E33EB5-B4E0-401F-8163-E5405006F67C}">
      <text>
        <r>
          <rPr>
            <b/>
            <sz val="10"/>
            <color indexed="81"/>
            <rFont val="Segoe UI"/>
            <family val="2"/>
          </rPr>
          <t>mehrjährige, robuste und eine der calciumreichsten Kräuterpflanzen, trockenresistent</t>
        </r>
        <r>
          <rPr>
            <sz val="10"/>
            <color indexed="81"/>
            <rFont val="Segoe UI"/>
            <family val="2"/>
          </rPr>
          <t xml:space="preserve">
</t>
        </r>
      </text>
    </comment>
    <comment ref="A50" authorId="0" shapeId="0" xr:uid="{19832822-325C-473C-93D1-E3FC280F58E4}">
      <text>
        <r>
          <rPr>
            <b/>
            <sz val="10"/>
            <color indexed="81"/>
            <rFont val="Segoe UI"/>
            <family val="2"/>
          </rPr>
          <t>zweijährig - Blütenbildung im 2. Jahr, für mehrjährige Gründüngungsgemische, sehr gute Wuchseigenschaften, durchwurzelt auch verdichtete Böden, anspruchslose, kalkliebende Pflanze, Feinwurzler, Bienenweide, gute Meliorationspflanze, keine Futternutzung aufgrund Cumaringehaltes</t>
        </r>
        <r>
          <rPr>
            <sz val="9"/>
            <color indexed="81"/>
            <rFont val="Segoe UI"/>
            <family val="2"/>
          </rPr>
          <t xml:space="preserve">
</t>
        </r>
      </text>
    </comment>
    <comment ref="A51" authorId="0" shapeId="0" xr:uid="{CB9AC1A5-5E7A-4D00-99E4-41C04A683A20}">
      <text>
        <r>
          <rPr>
            <b/>
            <sz val="10"/>
            <color indexed="81"/>
            <rFont val="Segoe UI"/>
            <family val="2"/>
          </rPr>
          <t>hohes Nachwuchsvermögen, Nutzung als Grünfutter/Silage ab 60 cm vor Beginn des Rispenschieben; Nutzung für Biogasproduktion möglich;
Empfohlene Mengen in Mischungen je ha: 3 bis 5 kg</t>
        </r>
        <r>
          <rPr>
            <sz val="10"/>
            <color indexed="81"/>
            <rFont val="Segoe UI"/>
            <family val="2"/>
          </rPr>
          <t xml:space="preserve">
</t>
        </r>
      </text>
    </comment>
    <comment ref="E51" authorId="0" shapeId="0" xr:uid="{BE28CC22-2F87-41B4-B07F-099C40E5ECB0}">
      <text>
        <r>
          <rPr>
            <b/>
            <sz val="9"/>
            <color indexed="81"/>
            <rFont val="Segoe UI"/>
            <family val="2"/>
          </rPr>
          <t>Empfohlene Mengen in Mischungen je ha:
3 bis 5 kg</t>
        </r>
        <r>
          <rPr>
            <sz val="9"/>
            <color indexed="81"/>
            <rFont val="Segoe UI"/>
            <family val="2"/>
          </rPr>
          <t xml:space="preserve">
</t>
        </r>
      </text>
    </comment>
    <comment ref="A52" authorId="0" shapeId="0" xr:uid="{A805E75B-6D1F-44B8-88D2-1B025E759341}">
      <text>
        <r>
          <rPr>
            <b/>
            <sz val="10"/>
            <color indexed="81"/>
            <rFont val="Segoe UI"/>
            <family val="2"/>
          </rPr>
          <t>anspruchslose Gräserart, bestockt stärker als Roggen, gutes Wurzelwerk, überwinternd,  auch für ärmste Böden geeignet, für Wildacker geeignet, gute Wildäsung</t>
        </r>
      </text>
    </comment>
    <comment ref="A53" authorId="0" shapeId="0" xr:uid="{0183616E-7903-4499-96F4-CD7B175CBCB5}">
      <text>
        <r>
          <rPr>
            <b/>
            <sz val="10"/>
            <color indexed="81"/>
            <rFont val="Segoe UI"/>
            <family val="2"/>
          </rPr>
          <t>ausdauernd / winterhart, kurzwüchsig, geeignet für Untersaaten wegen niedrigem Wuchs, geringe Ansprüche an Boden und Klima aber lichtbedürftig, verhindert lückigen Bestand, Mischungspartner mit Gräser. fruchtfolgeneutral</t>
        </r>
        <r>
          <rPr>
            <b/>
            <sz val="9"/>
            <color indexed="81"/>
            <rFont val="Segoe UI"/>
            <family val="2"/>
          </rPr>
          <t xml:space="preserve">
</t>
        </r>
      </text>
    </comment>
    <comment ref="A55" authorId="0" shapeId="0" xr:uid="{AE14DD27-DFC9-4B7E-B31B-9368ED65A813}">
      <text>
        <r>
          <rPr>
            <b/>
            <sz val="10"/>
            <color indexed="81"/>
            <rFont val="Segoe UI"/>
            <family val="2"/>
          </rPr>
          <t xml:space="preserve">rasche Bodenbedeckung, gute Durchwurzelung, Anbaupausen 
einhalten (Kohlhernie), geht im Anbaujahr nicht in Blüte, bringt nährstoffreiches Futter, Achtung bei Zuckerrübe als 
Fruchtfolgeglied (Nematoden!). </t>
        </r>
        <r>
          <rPr>
            <sz val="9"/>
            <color indexed="81"/>
            <rFont val="Segoe UI"/>
            <family val="2"/>
          </rPr>
          <t xml:space="preserve">
</t>
        </r>
      </text>
    </comment>
    <comment ref="A56" authorId="0" shapeId="0" xr:uid="{D522CB83-BA90-49DA-B5C5-D137D24C11FB}">
      <text>
        <r>
          <rPr>
            <b/>
            <sz val="10"/>
            <color indexed="81"/>
            <rFont val="Segoe UI"/>
            <family val="2"/>
          </rPr>
          <t>Kreuzblütler, raschwüchsig, mehrschnittig, gute Gülleverwertung, winterhart; spätsaatverträglich;
Empfohlene Mengen in Mischungen je ha: 2 bis 4 kg</t>
        </r>
        <r>
          <rPr>
            <sz val="9"/>
            <color indexed="81"/>
            <rFont val="Segoe UI"/>
            <family val="2"/>
          </rPr>
          <t xml:space="preserve">
</t>
        </r>
      </text>
    </comment>
    <comment ref="E56" authorId="0" shapeId="0" xr:uid="{A1FA87E6-9092-4349-AC62-ADA36A3AB428}">
      <text>
        <r>
          <rPr>
            <b/>
            <sz val="9"/>
            <color indexed="81"/>
            <rFont val="Segoe UI"/>
            <family val="2"/>
          </rPr>
          <t>Empfohlene Mengen in Mischungen je ha:
2 bis 4 kg</t>
        </r>
        <r>
          <rPr>
            <sz val="9"/>
            <color indexed="81"/>
            <rFont val="Segoe UI"/>
            <family val="2"/>
          </rPr>
          <t xml:space="preserve">
</t>
        </r>
      </text>
    </comment>
    <comment ref="A57" authorId="0" shapeId="0" xr:uid="{41CC28B4-4F58-4FC0-A399-044110DEB7A7}">
      <text>
        <r>
          <rPr>
            <b/>
            <sz val="10"/>
            <color indexed="81"/>
            <rFont val="Segoe UI"/>
            <family val="2"/>
          </rPr>
          <t>überwinternd, guter Mischungspartner in Begrünungsmischungen, Feinwurzler, Stickstoffsammler, bevorzugt durchlässige warme Sandböden, sonst geringe Boden bzw. Standortansprüche, gute Bodenbedeckung, bildet auch noch in der kalten Jahreszeit Wurzelmasse</t>
        </r>
      </text>
    </comment>
    <comment ref="A58" authorId="0" shapeId="0" xr:uid="{4D95A6B7-F52E-4EED-AF67-D8EBDD2FEF1F}">
      <text>
        <r>
          <rPr>
            <b/>
            <sz val="10"/>
            <color indexed="81"/>
            <rFont val="Segoe UI"/>
            <family val="2"/>
          </rPr>
          <t>mehrjährige, ausdauernde Kräuterart, die gesundheitsfördernde Stoffe enthält, gute Trockenheitsresistenz</t>
        </r>
      </text>
    </comment>
    <comment ref="A59" authorId="0" shapeId="0" xr:uid="{E258C7C3-8F06-449D-9E94-EC1D1A74C0DA}">
      <text>
        <r>
          <rPr>
            <b/>
            <sz val="10"/>
            <color indexed="81"/>
            <rFont val="Segoe UI"/>
            <family val="2"/>
          </rPr>
          <t>intensives Wurzelwachstum; klimafit - wetterfest; sicher abfrostend; einzigartige Mulchauflage im Frühjahr</t>
        </r>
      </text>
    </comment>
    <comment ref="A60" authorId="0" shapeId="0" xr:uid="{00000000-0006-0000-0100-000003000000}">
      <text>
        <r>
          <rPr>
            <b/>
            <sz val="9"/>
            <color indexed="81"/>
            <rFont val="Segoe UI"/>
            <family val="2"/>
          </rPr>
          <t>Eingabemöglichkeit für nicht gelistete Kulturen</t>
        </r>
      </text>
    </comment>
    <comment ref="I60" authorId="0" shapeId="0" xr:uid="{00000000-0006-0000-0100-000004000000}">
      <text>
        <r>
          <rPr>
            <b/>
            <sz val="9"/>
            <color indexed="81"/>
            <rFont val="Segoe UI"/>
            <family val="2"/>
          </rPr>
          <t>Pflanzenfamilie auswählen oder selber eingeben</t>
        </r>
      </text>
    </comment>
    <comment ref="M60" authorId="0" shapeId="0" xr:uid="{00000000-0006-0000-0100-000005000000}">
      <text>
        <r>
          <rPr>
            <b/>
            <sz val="9"/>
            <color indexed="81"/>
            <rFont val="Segoe UI"/>
            <family val="2"/>
          </rPr>
          <t>Nur auswählen, wenn zutreffend. Es sind Grünschnittroggen, Pannonische Wicke, Zottelwicke, Winterackerbohne, Wintererbse, Winterrübsen (inkl. Perko) gem. Varainte 6 zulässig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Kriegner-Schramml Simon</author>
  </authors>
  <commentList>
    <comment ref="H4" authorId="0" shapeId="0" xr:uid="{00000000-0006-0000-0200-000001000000}">
      <text>
        <r>
          <rPr>
            <b/>
            <u/>
            <sz val="11"/>
            <color indexed="81"/>
            <rFont val="Segoe UI"/>
            <family val="2"/>
          </rPr>
          <t>HINWEIS:</t>
        </r>
        <r>
          <rPr>
            <b/>
            <sz val="11"/>
            <color indexed="81"/>
            <rFont val="Segoe UI"/>
            <family val="2"/>
          </rPr>
          <t xml:space="preserve"> es zählt Bestand am Feld, dieser Hinweis ist ausschließlich als Orientierungshilfe zu sehen.</t>
        </r>
        <r>
          <rPr>
            <sz val="10"/>
            <color indexed="81"/>
            <rFont val="Segoe UI"/>
            <family val="2"/>
          </rPr>
          <t xml:space="preserve">
bei Zwischenfrüchten mit einem Leguminosenanteil &gt;60% ist ein Vorfruchtwert zu berücksichtigen (ungenutzt: 20 kg N; genutzt 10 kg N); 
</t>
        </r>
        <r>
          <rPr>
            <sz val="9"/>
            <color indexed="81"/>
            <rFont val="Segoe UI"/>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Kriegner-Schramml Simon</author>
  </authors>
  <commentList>
    <comment ref="E3" authorId="0" shapeId="0" xr:uid="{00000000-0006-0000-0300-000001000000}">
      <text>
        <r>
          <rPr>
            <sz val="9"/>
            <color indexed="81"/>
            <rFont val="Segoe UI"/>
            <family val="2"/>
          </rPr>
          <t xml:space="preserve">
Hier bitte die geplante Menge je ha angeführen</t>
        </r>
      </text>
    </comment>
    <comment ref="X4" authorId="0" shapeId="0" xr:uid="{00000000-0006-0000-0300-000002000000}">
      <text>
        <r>
          <rPr>
            <b/>
            <sz val="9"/>
            <color indexed="81"/>
            <rFont val="Segoe UI"/>
            <family val="2"/>
          </rPr>
          <t>Wenn auch nicht Var. 6 konforme Kulturen gewählt wurden</t>
        </r>
      </text>
    </comment>
    <comment ref="X5" authorId="0" shapeId="0" xr:uid="{00000000-0006-0000-0300-000003000000}">
      <text>
        <r>
          <rPr>
            <b/>
            <sz val="9"/>
            <color indexed="81"/>
            <rFont val="Segoe UI"/>
            <family val="2"/>
          </rPr>
          <t>Anzahl Var. 6 konformer Kulturen</t>
        </r>
      </text>
    </comment>
    <comment ref="A29" authorId="0" shapeId="0" xr:uid="{64DFD0AB-25FF-4B60-8F0A-220D20CB0CF9}">
      <text>
        <r>
          <rPr>
            <b/>
            <sz val="10"/>
            <color indexed="81"/>
            <rFont val="Segoe UI"/>
            <family val="2"/>
          </rPr>
          <t xml:space="preserve">gut abfrostend bzw. frostempfindlich, trockenheitsverträglich, geeignet für Mulchsaat, rasche Jugendentwicklung;
</t>
        </r>
        <r>
          <rPr>
            <b/>
            <u/>
            <sz val="10"/>
            <color indexed="81"/>
            <rFont val="Segoe UI"/>
            <family val="2"/>
          </rPr>
          <t>Fruchtfolge beachten:</t>
        </r>
        <r>
          <rPr>
            <b/>
            <sz val="10"/>
            <color indexed="81"/>
            <rFont val="Segoe UI"/>
            <family val="2"/>
          </rPr>
          <t xml:space="preserve"> als Korbblütler mit der Sonnenblume verwandt, Vermehrungspotential für Sclerotinia gegeben;
Empfohlene Mengen in Mischungen je ha: 0,5 bis 0,8 kg</t>
        </r>
      </text>
    </comment>
    <comment ref="A59" authorId="0" shapeId="0" xr:uid="{00000000-0006-0000-0300-000004000000}">
      <text>
        <r>
          <rPr>
            <b/>
            <sz val="9"/>
            <color indexed="81"/>
            <rFont val="Segoe UI"/>
            <family val="2"/>
          </rPr>
          <t>Eingabemöglichkeit für nicht gelistete Kulturen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Kriegner-Schramml Simon</author>
  </authors>
  <commentList>
    <comment ref="C9" authorId="0" shapeId="0" xr:uid="{F2546111-31D5-4FC6-A812-97DAFA15DC53}">
      <text>
        <r>
          <rPr>
            <b/>
            <sz val="12"/>
            <color indexed="81"/>
            <rFont val="Segoe UI"/>
            <family val="2"/>
          </rPr>
          <t>Reinsaatstärken können am Tabellenblatt "Begr.-Rechner int. Prod." angepasst werden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Kriegner-Schramml Simon</author>
  </authors>
  <commentList>
    <comment ref="A2" authorId="0" shapeId="0" xr:uid="{A948BF7F-8CB1-4E37-B16B-2BDF0A04FDAD}">
      <text>
        <r>
          <rPr>
            <b/>
            <sz val="11"/>
            <color indexed="81"/>
            <rFont val="Segoe UI"/>
            <family val="2"/>
          </rPr>
          <t>Hier kann der Name der eigenen Mischung angeführt werden</t>
        </r>
      </text>
    </comment>
    <comment ref="E2" authorId="0" shapeId="0" xr:uid="{EFAD59C3-A706-4DA0-BF06-6A8F72466CB2}">
      <text>
        <r>
          <rPr>
            <b/>
            <sz val="11"/>
            <color indexed="81"/>
            <rFont val="Segoe UI"/>
            <family val="2"/>
          </rPr>
          <t>Hier bitte die geplante Menge je ha anführen</t>
        </r>
      </text>
    </comment>
    <comment ref="L3" authorId="0" shapeId="0" xr:uid="{00000000-0006-0000-0400-000001000000}">
      <text>
        <r>
          <rPr>
            <sz val="9"/>
            <color indexed="81"/>
            <rFont val="Segoe UI"/>
            <family val="2"/>
          </rPr>
          <t>bei Zwischenfrüchten mit einem Leguminosenanteil &gt;60% ist ein Vorfruchtwert zu berücksichtigen (ungenutzt: 20 kg N; genutzt 10 kg N); HINWEIS: es zählt Bestand am Feld, dieser Hinweis ist ausschließlich als Orientierungshilfe zu sehen.</t>
        </r>
      </text>
    </comment>
    <comment ref="A52" authorId="0" shapeId="0" xr:uid="{00000000-0006-0000-0400-000003000000}">
      <text>
        <r>
          <rPr>
            <b/>
            <sz val="9"/>
            <color indexed="81"/>
            <rFont val="Segoe UI"/>
            <family val="2"/>
          </rPr>
          <t>Eingabemöglichkeit für nicht gelistete Kulturen</t>
        </r>
      </text>
    </comment>
    <comment ref="I52" authorId="0" shapeId="0" xr:uid="{00000000-0006-0000-0400-000004000000}">
      <text>
        <r>
          <rPr>
            <b/>
            <sz val="9"/>
            <color indexed="81"/>
            <rFont val="Segoe UI"/>
            <family val="2"/>
          </rPr>
          <t>Pflanzenfamilie auswählen oder selber eingeben</t>
        </r>
      </text>
    </comment>
    <comment ref="M52" authorId="0" shapeId="0" xr:uid="{00000000-0006-0000-0400-000005000000}">
      <text>
        <r>
          <rPr>
            <b/>
            <sz val="9"/>
            <color indexed="81"/>
            <rFont val="Segoe UI"/>
            <family val="2"/>
          </rPr>
          <t>Nur auswählen wenn zutreffend. Es sind Grünschnittroggen, Pannonische Nur auswählen, wenn zutreffend. Es sind Grünschnittroggen, Pannonische Wicke, Zottelwicke, Winterackerbohne, Wintererbse, Winterrübsen (inkl. Perko) gem. Varainte 6 zulässig</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Kriegner-Schramml Simon</author>
  </authors>
  <commentList>
    <comment ref="A25" authorId="0" shapeId="0" xr:uid="{6A621A2A-9C60-4B03-BC08-FCBF78016E1B}">
      <text>
        <r>
          <rPr>
            <b/>
            <sz val="10"/>
            <color indexed="81"/>
            <rFont val="Segoe UI"/>
            <family val="2"/>
          </rPr>
          <t xml:space="preserve">gut abfrostend bzw. frostempfindlich, trockenheitsverträglich, geeignet für Mulchsaat, rasche Jugendentwicklung;
</t>
        </r>
        <r>
          <rPr>
            <b/>
            <u/>
            <sz val="10"/>
            <color indexed="81"/>
            <rFont val="Segoe UI"/>
            <family val="2"/>
          </rPr>
          <t>Fruchtfolge beachten:</t>
        </r>
        <r>
          <rPr>
            <b/>
            <sz val="10"/>
            <color indexed="81"/>
            <rFont val="Segoe UI"/>
            <family val="2"/>
          </rPr>
          <t xml:space="preserve"> als Korbblütler mit der Sonnenblume verwandt, Vermehrungspotential für Sclerotinia gegeben;
Empfohlene Mengen in Mischungen je ha: 0,5 bis 0,8 kg</t>
        </r>
      </text>
    </comment>
    <comment ref="A51" authorId="0" shapeId="0" xr:uid="{00000000-0006-0000-0500-000001000000}">
      <text>
        <r>
          <rPr>
            <b/>
            <sz val="9"/>
            <color indexed="81"/>
            <rFont val="Segoe UI"/>
            <family val="2"/>
          </rPr>
          <t>Eingabemöglichkeit für nicht gelistete Kulturen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Kriegner-Schramml Simon</author>
  </authors>
  <commentList>
    <comment ref="H4" authorId="0" shapeId="0" xr:uid="{00000000-0006-0000-0600-000001000000}">
      <text>
        <r>
          <rPr>
            <b/>
            <u/>
            <sz val="10"/>
            <color indexed="81"/>
            <rFont val="Segoe UI"/>
            <family val="2"/>
          </rPr>
          <t>HINWEIS:</t>
        </r>
        <r>
          <rPr>
            <b/>
            <sz val="10"/>
            <color indexed="81"/>
            <rFont val="Segoe UI"/>
            <family val="2"/>
          </rPr>
          <t xml:space="preserve"> es zählt Bestand am Feld, dieser Hinweis ist ausschließlich als Orientierungshilfe zu sehen.</t>
        </r>
        <r>
          <rPr>
            <sz val="9"/>
            <color indexed="81"/>
            <rFont val="Segoe UI"/>
            <family val="2"/>
          </rPr>
          <t xml:space="preserve">
</t>
        </r>
        <r>
          <rPr>
            <sz val="10"/>
            <color indexed="81"/>
            <rFont val="Segoe UI"/>
            <family val="2"/>
          </rPr>
          <t xml:space="preserve">bei Zwischenfrüchten mit einem Leguminosenanteil &gt;60% ist ein Vorfruchtwert zu berücksichtigen (ungenutzt: 20 kg N; genutzt 10 kg 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<sst xmlns="http://schemas.openxmlformats.org/spreadsheetml/2006/main" count="4929" uniqueCount="1071">
  <si>
    <t>MISCHUNGSBERECHNUNG</t>
  </si>
  <si>
    <t>Kosten/ha in €</t>
  </si>
  <si>
    <t>Richtpreis/kg</t>
  </si>
  <si>
    <t>Reinsaat-menge</t>
  </si>
  <si>
    <t>Kosten/ha bei Reinsaat</t>
  </si>
  <si>
    <t>Menge/ha</t>
  </si>
  <si>
    <t xml:space="preserve">Menge in kg </t>
  </si>
  <si>
    <t>Einzelkulturen</t>
  </si>
  <si>
    <t>Alexandrinerklee</t>
  </si>
  <si>
    <r>
      <t xml:space="preserve">Alexandrinerklee </t>
    </r>
    <r>
      <rPr>
        <b/>
        <sz val="12"/>
        <rFont val="Arial"/>
        <family val="2"/>
      </rPr>
      <t>BIO</t>
    </r>
  </si>
  <si>
    <t>Buchweizen</t>
  </si>
  <si>
    <t>Einjähriges Raygras (Westerwoldisches Raygras)</t>
  </si>
  <si>
    <r>
      <t xml:space="preserve">Englisches Raygras </t>
    </r>
    <r>
      <rPr>
        <b/>
        <sz val="12"/>
        <rFont val="Arial"/>
        <family val="2"/>
      </rPr>
      <t>BIO</t>
    </r>
  </si>
  <si>
    <t>Futtererbse</t>
  </si>
  <si>
    <t>Gelbklee (Hopfenklee)</t>
  </si>
  <si>
    <t>Grünschnittroggen</t>
  </si>
  <si>
    <t>Inkarnatklee</t>
  </si>
  <si>
    <r>
      <t xml:space="preserve">Inkarnatklee </t>
    </r>
    <r>
      <rPr>
        <b/>
        <sz val="12"/>
        <rFont val="Arial"/>
        <family val="2"/>
      </rPr>
      <t>BIO</t>
    </r>
  </si>
  <si>
    <r>
      <t xml:space="preserve">Kresse </t>
    </r>
    <r>
      <rPr>
        <b/>
        <sz val="12"/>
        <rFont val="Arial"/>
        <family val="2"/>
      </rPr>
      <t>BIO</t>
    </r>
  </si>
  <si>
    <t>Leindotter</t>
  </si>
  <si>
    <r>
      <t xml:space="preserve">Leindotter </t>
    </r>
    <r>
      <rPr>
        <b/>
        <sz val="12"/>
        <rFont val="Arial"/>
        <family val="2"/>
      </rPr>
      <t>BIO</t>
    </r>
  </si>
  <si>
    <t>Luzerne</t>
  </si>
  <si>
    <r>
      <t xml:space="preserve">Luzerne </t>
    </r>
    <r>
      <rPr>
        <b/>
        <sz val="12"/>
        <rFont val="Arial"/>
        <family val="2"/>
      </rPr>
      <t>BIO</t>
    </r>
  </si>
  <si>
    <t>Meliorationsrettich</t>
  </si>
  <si>
    <t>Ölrettich</t>
  </si>
  <si>
    <t>Persischer Klee</t>
  </si>
  <si>
    <t>Phazelie</t>
  </si>
  <si>
    <t>Pigmentplatterbse</t>
  </si>
  <si>
    <r>
      <t xml:space="preserve">Pigmentplatterbse </t>
    </r>
    <r>
      <rPr>
        <b/>
        <sz val="12"/>
        <rFont val="Arial"/>
        <family val="2"/>
      </rPr>
      <t>BIO</t>
    </r>
  </si>
  <si>
    <t xml:space="preserve">Ringelblume </t>
  </si>
  <si>
    <t>Rotklee</t>
  </si>
  <si>
    <r>
      <t xml:space="preserve">Rotklee </t>
    </r>
    <r>
      <rPr>
        <b/>
        <sz val="12"/>
        <rFont val="Arial"/>
        <family val="2"/>
      </rPr>
      <t>BIO</t>
    </r>
  </si>
  <si>
    <t>Sarepta-Senf</t>
  </si>
  <si>
    <t>Schwedenklee</t>
  </si>
  <si>
    <t>Senf</t>
  </si>
  <si>
    <r>
      <t xml:space="preserve">Senf </t>
    </r>
    <r>
      <rPr>
        <b/>
        <sz val="12"/>
        <rFont val="Arial"/>
        <family val="2"/>
      </rPr>
      <t>BIO</t>
    </r>
  </si>
  <si>
    <t>Sommerfutterraps</t>
  </si>
  <si>
    <t>Sudangras</t>
  </si>
  <si>
    <t>Weißklee</t>
  </si>
  <si>
    <r>
      <t xml:space="preserve">Weißklee </t>
    </r>
    <r>
      <rPr>
        <b/>
        <sz val="12"/>
        <rFont val="Arial"/>
        <family val="2"/>
      </rPr>
      <t>BIO</t>
    </r>
  </si>
  <si>
    <t>Winterfutterraps</t>
  </si>
  <si>
    <t>Winterwicke Pannonisch</t>
  </si>
  <si>
    <r>
      <t xml:space="preserve">Winterwicke Pannonisch </t>
    </r>
    <r>
      <rPr>
        <b/>
        <sz val="12"/>
        <rFont val="Arial"/>
        <family val="2"/>
      </rPr>
      <t>BIO</t>
    </r>
  </si>
  <si>
    <t>Saatgutmischungen</t>
  </si>
  <si>
    <t xml:space="preserve">AckerGrün Begrünungsmischung FruchtfolgePluss </t>
  </si>
  <si>
    <t>AckerGrün Begrünungsmischung SpeedPluss</t>
  </si>
  <si>
    <t>BIENENTRACHTBRACHE</t>
  </si>
  <si>
    <t>25</t>
  </si>
  <si>
    <t>50</t>
  </si>
  <si>
    <t>DICKICHT</t>
  </si>
  <si>
    <t xml:space="preserve">Einsömmerige Kleegrasmischung  EZ - DIE SAAT - ÖAG - Qualitätssaatgutmischung </t>
  </si>
  <si>
    <t>30</t>
  </si>
  <si>
    <t xml:space="preserve">Landsberger Gemenge </t>
  </si>
  <si>
    <t>LECKERBISSEN</t>
  </si>
  <si>
    <t>LEGUMIX</t>
  </si>
  <si>
    <t>ÖPULFIT</t>
  </si>
  <si>
    <t>WiesenGrün Landsberger Gemenge ST 1</t>
  </si>
  <si>
    <t>Wassergüte früh</t>
  </si>
  <si>
    <t>Wassergüte rau</t>
  </si>
  <si>
    <t>kg/ha</t>
  </si>
  <si>
    <t>€/ha</t>
  </si>
  <si>
    <t>Anmerkungen</t>
  </si>
  <si>
    <t xml:space="preserve">Abessinischer Senf </t>
  </si>
  <si>
    <t>25 - 30</t>
  </si>
  <si>
    <t>Bastardraygras</t>
  </si>
  <si>
    <t>60 - 80</t>
  </si>
  <si>
    <t>Esparsette</t>
  </si>
  <si>
    <t>Futterkohl</t>
  </si>
  <si>
    <t>Herbstrübe</t>
  </si>
  <si>
    <t>Hirse</t>
  </si>
  <si>
    <t>Hornklee</t>
  </si>
  <si>
    <t>Kulturmalve</t>
  </si>
  <si>
    <t>20 - 25</t>
  </si>
  <si>
    <t>Saatplatterbse</t>
  </si>
  <si>
    <t>100 - 130</t>
  </si>
  <si>
    <t xml:space="preserve">Serradella </t>
  </si>
  <si>
    <t>20 - 30</t>
  </si>
  <si>
    <t>DSV - Mischungen</t>
  </si>
  <si>
    <t>30 - 40</t>
  </si>
  <si>
    <t>AckerGrün Weingarten II - Dauerbegrünung ohne Klee</t>
  </si>
  <si>
    <t xml:space="preserve">AckerGrün WeingartenPluss  </t>
  </si>
  <si>
    <t xml:space="preserve">AckerGrün Biodiversitätmischung BIOLebensraumPluss </t>
  </si>
  <si>
    <t xml:space="preserve">AckerGrün Biodiversitätmischung BlütenPluss </t>
  </si>
  <si>
    <t xml:space="preserve">AckerGrün Biodiversitätsmischung BienentrachtPluss </t>
  </si>
  <si>
    <t xml:space="preserve">AckerGrün BioUntersaatPluss </t>
  </si>
  <si>
    <t xml:space="preserve">AckerGrün UntersaatPluss </t>
  </si>
  <si>
    <t xml:space="preserve">WOLFF - Mischung </t>
  </si>
  <si>
    <t xml:space="preserve">WOLFF - Mischung ohne Luzerne </t>
  </si>
  <si>
    <t>70 - 80</t>
  </si>
  <si>
    <t>Phacelia, Buchweizen, Ölrettich, Senf, auch auf rauhere Saatbeete</t>
  </si>
  <si>
    <r>
      <t xml:space="preserve">Einjähriges Raygras </t>
    </r>
    <r>
      <rPr>
        <b/>
        <sz val="12"/>
        <rFont val="Arial"/>
        <family val="2"/>
      </rPr>
      <t>BIO</t>
    </r>
  </si>
  <si>
    <t>Ölrettich nematodenhemmend</t>
  </si>
  <si>
    <t>Saflor</t>
  </si>
  <si>
    <r>
      <t xml:space="preserve">Sudangras </t>
    </r>
    <r>
      <rPr>
        <b/>
        <sz val="12"/>
        <rFont val="Arial"/>
        <family val="2"/>
      </rPr>
      <t>BIO</t>
    </r>
  </si>
  <si>
    <t>Zottelwicke</t>
  </si>
  <si>
    <t>HESA - Mischungen</t>
  </si>
  <si>
    <t>12</t>
  </si>
  <si>
    <t>20-25</t>
  </si>
  <si>
    <t>Bitterlupine</t>
  </si>
  <si>
    <t>14</t>
  </si>
  <si>
    <r>
      <rPr>
        <sz val="11"/>
        <rFont val="Arial"/>
        <family val="2"/>
      </rPr>
      <t>angeführte Werte sind Durchschnitts - bzw. Beispielwerte</t>
    </r>
    <r>
      <rPr>
        <b/>
        <sz val="11"/>
        <rFont val="Arial"/>
        <family val="2"/>
      </rPr>
      <t xml:space="preserve">
Hier können auch eigene Werte eingetragen werden</t>
    </r>
  </si>
  <si>
    <t>Menge
Reinsaat</t>
  </si>
  <si>
    <t>eigene Kultur 1</t>
  </si>
  <si>
    <t>eigene Kultur 2</t>
  </si>
  <si>
    <t>eigene Kultur 3</t>
  </si>
  <si>
    <t>eigene Kultur 4</t>
  </si>
  <si>
    <t>eigene Kultur 5</t>
  </si>
  <si>
    <t>eigene Kultur 6</t>
  </si>
  <si>
    <t>eigene Kultur 7</t>
  </si>
  <si>
    <r>
      <rPr>
        <sz val="11"/>
        <rFont val="Arial"/>
        <family val="2"/>
      </rPr>
      <t>angeführte Werte sind Durchschnitts - bzw. Beispielwerte</t>
    </r>
    <r>
      <rPr>
        <b/>
        <sz val="11"/>
        <rFont val="Arial"/>
        <family val="2"/>
      </rPr>
      <t xml:space="preserve">
HIER können auch eigene Werte eingegeben werden</t>
    </r>
  </si>
  <si>
    <t xml:space="preserve">Eigenschaften überwinternde Kulturen </t>
  </si>
  <si>
    <t>Pflanzenarten</t>
  </si>
  <si>
    <r>
      <t xml:space="preserve">Anbauzeit
</t>
    </r>
    <r>
      <rPr>
        <sz val="11"/>
        <rFont val="Arial"/>
        <family val="2"/>
      </rPr>
      <t>Juli  Aug.Sept.</t>
    </r>
    <r>
      <rPr>
        <b/>
        <sz val="11"/>
        <rFont val="Arial"/>
        <family val="2"/>
      </rPr>
      <t xml:space="preserve">
</t>
    </r>
    <r>
      <rPr>
        <sz val="12"/>
        <rFont val="Arial"/>
        <family val="2"/>
      </rPr>
      <t>### ### ###</t>
    </r>
  </si>
  <si>
    <t>Jugend-
ent-
wicklung</t>
  </si>
  <si>
    <t>Bodenbe-deckung</t>
  </si>
  <si>
    <t>Reinsaat-
menge 
kg/ha</t>
  </si>
  <si>
    <t>Reinsaat bzw. Gemengeanbau</t>
  </si>
  <si>
    <t>Kreuzblütler</t>
  </si>
  <si>
    <t xml:space="preserve">Winterrübse </t>
  </si>
  <si>
    <t>### ### ##</t>
  </si>
  <si>
    <t>sehr rasch</t>
  </si>
  <si>
    <t>sehr gut</t>
  </si>
  <si>
    <t>10-15</t>
  </si>
  <si>
    <t>beides</t>
  </si>
  <si>
    <t>Fruchtfolge beachten, raschwüchsig, mehrschnittig</t>
  </si>
  <si>
    <t>### ### ###</t>
  </si>
  <si>
    <t>rasch</t>
  </si>
  <si>
    <t>Reinsaat sinnvoll</t>
  </si>
  <si>
    <t>für Futternutzung Juli/August 10 kg /ha Aussaat, geht im Ansaatjahr nicht in Blüte</t>
  </si>
  <si>
    <t>Leguminosen</t>
  </si>
  <si>
    <t>binden Luftstickstoff, Fruchtfolgeregeln beachten</t>
  </si>
  <si>
    <t>Winterwicke</t>
  </si>
  <si>
    <t>gut</t>
  </si>
  <si>
    <t>80-100</t>
  </si>
  <si>
    <t>nur in Gemengen sinnvoll</t>
  </si>
  <si>
    <t xml:space="preserve">im Landsberger Gemenge, meist überwinternd, gute Durchwurzelung des Bodens </t>
  </si>
  <si>
    <t>### ###</t>
  </si>
  <si>
    <t>langsam</t>
  </si>
  <si>
    <t>mittel</t>
  </si>
  <si>
    <t>15</t>
  </si>
  <si>
    <t>geringe Ansprüche, lichtbedürftig  ausläufertreibend - Lückenfüller</t>
  </si>
  <si>
    <t>### ##</t>
  </si>
  <si>
    <t>wertvolle Futterleguminose für Feuchtgebiete  und Übergangslagen</t>
  </si>
  <si>
    <t>wertvolle Futterleguminose für Trockengebiete, pH -Wert mind. um 6,5 !</t>
  </si>
  <si>
    <t>25-30</t>
  </si>
  <si>
    <t>Gemenge sinnvoller</t>
  </si>
  <si>
    <t>überjährig, Bestandteil auch im Landsberger Gemenge, spätsaatverträglich</t>
  </si>
  <si>
    <t>gering</t>
  </si>
  <si>
    <t>15-18</t>
  </si>
  <si>
    <t>nur im Gemenge sinnvoll</t>
  </si>
  <si>
    <t xml:space="preserve"> für Trockenlagen und schlechte Böden geeignet, niedriger Wuchs, sehr ausdauernd </t>
  </si>
  <si>
    <t>Gelbklee</t>
  </si>
  <si>
    <t>für magere Böden ,anspruchslos, trockenresistent, eher niederliegend</t>
  </si>
  <si>
    <t>13-15</t>
  </si>
  <si>
    <t xml:space="preserve">für feuchtere Böden und rauere Lagen als Ersatz für Rotklee </t>
  </si>
  <si>
    <t>Steinklee, gelb/weiß</t>
  </si>
  <si>
    <t>### #</t>
  </si>
  <si>
    <t xml:space="preserve">2-jährig, hochwachsend, kann verdichtete Böden durchwurzeln, cumarinhältig  </t>
  </si>
  <si>
    <t>mäßig</t>
  </si>
  <si>
    <t>Gräser</t>
  </si>
  <si>
    <t xml:space="preserve">Rotschwingel </t>
  </si>
  <si>
    <t xml:space="preserve">### ### </t>
  </si>
  <si>
    <t>bildet Ausläufer - wichtiger Narbenbildner und Lückenfüller</t>
  </si>
  <si>
    <t>Engl. (deut.) Raygras</t>
  </si>
  <si>
    <t>konkurrenzstark in der Anfangsentwicklung, nicht geeignet für raue Lagen</t>
  </si>
  <si>
    <t>Wiesenschwingel</t>
  </si>
  <si>
    <t>30-40</t>
  </si>
  <si>
    <t>für feuchte nährstoffreiche Böden, hochwachsend</t>
  </si>
  <si>
    <t>Schafschwingel</t>
  </si>
  <si>
    <t>für karge Böden, als Futtergras wenig Bedeutung</t>
  </si>
  <si>
    <t>Kammgras</t>
  </si>
  <si>
    <t>22</t>
  </si>
  <si>
    <t xml:space="preserve">ausdauerndes Gras für karge Böden </t>
  </si>
  <si>
    <t>Rotes Straußgras</t>
  </si>
  <si>
    <t>für karge, aber auch saure Böden, speziell in höheren nicht zu trockenen Lagen</t>
  </si>
  <si>
    <t>Wiesenripse</t>
  </si>
  <si>
    <t>narbenbildend füllt Lücken, gute Trockenheitsresistenz</t>
  </si>
  <si>
    <t>Timothe</t>
  </si>
  <si>
    <t>15-20</t>
  </si>
  <si>
    <t>ausdauendes Gras mit guter Winterhärte unempfindlich gegen Nässe</t>
  </si>
  <si>
    <t>Glatthafer</t>
  </si>
  <si>
    <t>40</t>
  </si>
  <si>
    <t>horstbildendes hochwüchsiges Gras, verträg Trockenheit gut</t>
  </si>
  <si>
    <t>Knaulgras</t>
  </si>
  <si>
    <t>gut geeignet für trockene Böden, bildet Horste, später konkurrenzstark</t>
  </si>
  <si>
    <t>Italienisches Raygras</t>
  </si>
  <si>
    <t>30-50</t>
  </si>
  <si>
    <t>überwintert in milderen Lagen , guter  N-Verwerter</t>
  </si>
  <si>
    <t>20-30</t>
  </si>
  <si>
    <t>zwei- bis mehrjährig in milden und mittleren Lagen, verlangt gute Nährstoffversorgung</t>
  </si>
  <si>
    <t>spätsaatverträgliche Saatgutmischung
mit guter Vorfruchtwirkung, mit 30-40 kg/ha als Rotationsbrache möglich</t>
  </si>
  <si>
    <t>Landsberger Gemenge</t>
  </si>
  <si>
    <t>### ### #</t>
  </si>
  <si>
    <t>50-80</t>
  </si>
  <si>
    <t xml:space="preserve">Gründecke CLASSIC HR </t>
  </si>
  <si>
    <t>5 % Phacelia, 15 % Senf, 61 % Buchweizen,10% Alexandrinerklee,  5 % Kresse, 4% Schwarzs.</t>
  </si>
  <si>
    <t>AckerGrün Hydrosan</t>
  </si>
  <si>
    <t xml:space="preserve">            ### ##</t>
  </si>
  <si>
    <t>Boden- und Wasserschutzmischung, speziell f. Begrünung nach Mais</t>
  </si>
  <si>
    <t>AckerGrün Biodiversitäts+</t>
  </si>
  <si>
    <t xml:space="preserve">Gräserfreie Brachemischung </t>
  </si>
  <si>
    <t>Mungo, Phacelia, Alexandrinerklee und Krumenklee</t>
  </si>
  <si>
    <t xml:space="preserve">   # ###</t>
  </si>
  <si>
    <t>Sonstige</t>
  </si>
  <si>
    <t xml:space="preserve">Bestockt stärker als Roggen. Auch für ärmere Böden zur Wildäsung bzw. Aussaat im Juni - Herbst Futterschnitt und im nächsten Jahr Drusch möglich </t>
  </si>
  <si>
    <t>Waldstaudenroggen</t>
  </si>
  <si>
    <t xml:space="preserve">           ### ##</t>
  </si>
  <si>
    <t>120</t>
  </si>
  <si>
    <t>130</t>
  </si>
  <si>
    <t>Gute Bestockung. besonders gute Frühjahrsschnitte (vor dem Maisanbau) möglich</t>
  </si>
  <si>
    <t xml:space="preserve">Jugendentwicklung  und Bodenbedeckung sind stark abhängig von den verwendeten Sorten. Die Bodenbedeckung ist weiters abhängig vom Vegetationsstadium der Pflanze. </t>
  </si>
  <si>
    <t>Ein Abfrosten der Bestände ist jedoch auch bei überwinternden Kulturarten je nach Witterung, Schneelage… nicht auszuschließen</t>
  </si>
  <si>
    <t xml:space="preserve">Eigenschaften abfrostende Kulturen </t>
  </si>
  <si>
    <t>Versch. Pflanzenfamilien</t>
  </si>
  <si>
    <t>Sonnenblume</t>
  </si>
  <si>
    <t>Sklerotinia-Vermehrer!!  Braucht viel Bodenwasser - ausgefallene Samen in Folgefrucht</t>
  </si>
  <si>
    <t>Schwarzsamen/ Mungo</t>
  </si>
  <si>
    <t xml:space="preserve"> sehr gut</t>
  </si>
  <si>
    <t>sehr frostempfindlich, trockenheitsverträglich, ideal für Mulchsaat, rasche Jugendentwicklung, Sclerotinia</t>
  </si>
  <si>
    <t>Ringelblume</t>
  </si>
  <si>
    <t>meist abfrostend, fruchtfolgeneutral, sehr gute Durchwurzelung und guter Stickstoffspeicher, Samenbildung</t>
  </si>
  <si>
    <t>Phazelia</t>
  </si>
  <si>
    <t>10-16</t>
  </si>
  <si>
    <t>für alle Fruchtfolgen, nematodenneutral, verträgt Trockenheit gut, beste Eignung für Mulchsaat</t>
  </si>
  <si>
    <t>nein</t>
  </si>
  <si>
    <t xml:space="preserve"> gut</t>
  </si>
  <si>
    <t xml:space="preserve"> 60-80</t>
  </si>
  <si>
    <t>Gemenge</t>
  </si>
  <si>
    <t>bei frühem Anbau Samenreife (Achtung bei Zuckerrübe), trockenverträglich, frostempfindlich</t>
  </si>
  <si>
    <t>Anbau ab August von Vorteil damit Pflanzen mehr Blattmasse bilden</t>
  </si>
  <si>
    <t>Senf nematodenres.</t>
  </si>
  <si>
    <t xml:space="preserve">rechtzeitiger Anbau für biologische Nematodenbekämpfung notwendig - Eignung für Zuckerrübenfruchtfolge </t>
  </si>
  <si>
    <t xml:space="preserve">Sareptasenf </t>
  </si>
  <si>
    <t xml:space="preserve">  ## ##</t>
  </si>
  <si>
    <t>bessere Durchwurzelung als Senf, Bodenstrukturverbesserung - Futterwert ähnlich Sommerfutteraps, Energieerz.</t>
  </si>
  <si>
    <t xml:space="preserve"> 6 - 8</t>
  </si>
  <si>
    <t>rasch Entwicklung, wenig oberirdische Masse, kräftige Pfahlwurzel mit guter Tiefenlockerung, frostet ab</t>
  </si>
  <si>
    <t>Ölrettich multiresistente Sorte</t>
  </si>
  <si>
    <t>frühe Saat und dichte Bestände verringern die Rettichbildung - gilt auch für nematodenresistente, Pflanzeninhaltsstoffe (Glucosinolate) von Defender werden zu biologisch aktiv wirksamen Stoffen umgesetzt</t>
  </si>
  <si>
    <t>Ölrettich nematodenh.</t>
  </si>
  <si>
    <t>für Schnittnutzung Aussaat ab Mitte August: 10 kg/ha, keine nematodenresistenten Sorten verfügbar</t>
  </si>
  <si>
    <t xml:space="preserve">Sommerrübse </t>
  </si>
  <si>
    <t xml:space="preserve">beides </t>
  </si>
  <si>
    <t>friert meist ab und hinterläßt eine lockere Mulchschicht für eine störungsfreie Direktsaat von Mais</t>
  </si>
  <si>
    <t>Markstamm,-/Futterkohl</t>
  </si>
  <si>
    <t xml:space="preserve">### # </t>
  </si>
  <si>
    <t>3-5</t>
  </si>
  <si>
    <t xml:space="preserve">gutes Futter, hohe  Winterfestigkeit, verträgt Fröste von -10-12°C, Fütterung bis Ende Dez. frisch vom Feld </t>
  </si>
  <si>
    <t>8-12</t>
  </si>
  <si>
    <t>eher Gemenge</t>
  </si>
  <si>
    <t>langsame Jugendentwicklung, feines Wurzelwerk, rel. wenig Masse,  nicht selbstverträglich</t>
  </si>
  <si>
    <t>###</t>
  </si>
  <si>
    <t>15-40</t>
  </si>
  <si>
    <t xml:space="preserve">hohes Nachwuchsvermögen - Nutzung als Grünfutter/Silage ab ca. 60 cm Wuchshöhe für Biogas, Wildäcker </t>
  </si>
  <si>
    <t>Sandhafer</t>
  </si>
  <si>
    <t>80-120</t>
  </si>
  <si>
    <t>zur Bekämpfung von Pratylenchus penetrans (Wurzelläsionsälchen) -  keine Vermehrung von Trichodoriden (Überträger der Eisenfleckigkeit), für alle Böden und jegliche Nutzung geeignet</t>
  </si>
  <si>
    <t>Westerw. Raygras</t>
  </si>
  <si>
    <t xml:space="preserve">sehr wüchsig, nematodenneutral, bestens geeignet für Silierung, Nutzung vor Beginn des Ährenschiebens </t>
  </si>
  <si>
    <t>Alexandrinerklee und 
Krumenklee</t>
  </si>
  <si>
    <t>langsame Jugendentwicklung, hohes Nachwuchsvermögen, hoher Eiweißgehalt  im Gemenge mit Gräsern bauen</t>
  </si>
  <si>
    <t>Saatwicke</t>
  </si>
  <si>
    <t xml:space="preserve"> 100-130</t>
  </si>
  <si>
    <t>Gemenge mit Stützfrucht</t>
  </si>
  <si>
    <t>gute Garebildung, eiweißreiches Grünfutter, mit Stützfrucht  anbauen</t>
  </si>
  <si>
    <t>130-150</t>
  </si>
  <si>
    <t>Erntereife zur Grünverfütterung nach Erreichen der Vollblüte, sobald die untersten Hülsen ausgebildet sind</t>
  </si>
  <si>
    <t>Klee der sandigen Böden - mit Stütz,-Deckfrucht anbauen, keimt sehr langsam,  stark verzweigtes Wurzelwerk</t>
  </si>
  <si>
    <t>Ackerbohne</t>
  </si>
  <si>
    <t xml:space="preserve"> 150-200</t>
  </si>
  <si>
    <t xml:space="preserve">bevorzugt feuchte Klimagebiete, mit sich selbst und Rotklee nicht verträglich </t>
  </si>
  <si>
    <t xml:space="preserve"> 110-180</t>
  </si>
  <si>
    <t>schnelle Jugendentwicklung,  bessere Durchwurzelung als Futtererbse, für trockene Standorte geeignet</t>
  </si>
  <si>
    <t>Süßlupine</t>
  </si>
  <si>
    <t xml:space="preserve">### </t>
  </si>
  <si>
    <t xml:space="preserve"> 150-220</t>
  </si>
  <si>
    <t>weiße, gelbe oder blaue bitterstoffarme Lupinen Eignung je nach Bodentyp - eiweissreiches Futter</t>
  </si>
  <si>
    <t>120-180</t>
  </si>
  <si>
    <t xml:space="preserve">zur Gründüngung auf leichteren Böden auch in kühleren Lagen </t>
  </si>
  <si>
    <t>Kulturarten sind nur bei ausreichender vegetativen Entwicklung im Herbst und kalten Wintern (tiefgehende Fröste) abfrostend.</t>
  </si>
  <si>
    <t>Nematodenresistente Sorten von Senf und Ölrettich haben nur Wirkung gegen Zuckerrübenzystennematoden - außer Ölrettich Defender als multiresistente Sorte.</t>
  </si>
  <si>
    <t>Menge in kg/ha
geplant</t>
  </si>
  <si>
    <t>Mischungs-anteil in % (=relative Saatstärke)</t>
  </si>
  <si>
    <t>Fläche in ha</t>
  </si>
  <si>
    <t>Mischungs-anteil in %
(=relative Saatstärke)</t>
  </si>
  <si>
    <t>Saatstärke in % der Reinsaat</t>
  </si>
  <si>
    <t>Kulturbezeichnung</t>
  </si>
  <si>
    <t>Menge in kg/ha 
geplant</t>
  </si>
  <si>
    <t>Kosten je Kultur</t>
  </si>
  <si>
    <t>Kosten/ha</t>
  </si>
  <si>
    <t xml:space="preserve">Saatgutmenge je Kultur bzw. Mischung in kg </t>
  </si>
  <si>
    <t>Der Bereich Anbauzeitpunkte enthält Informationen zu den empfohlenen Anbauzeitpunkten und pflanzenbaulichen Eigenschaften</t>
  </si>
  <si>
    <r>
      <t xml:space="preserve">Dieser Bereich ist zusätzlich in Eigenschaften </t>
    </r>
    <r>
      <rPr>
        <b/>
        <u/>
        <sz val="11"/>
        <color theme="1"/>
        <rFont val="Arial"/>
        <family val="2"/>
      </rPr>
      <t>winterharter</t>
    </r>
    <r>
      <rPr>
        <sz val="11"/>
        <color theme="1"/>
        <rFont val="Arial"/>
        <family val="2"/>
      </rPr>
      <t xml:space="preserve"> und </t>
    </r>
    <r>
      <rPr>
        <b/>
        <u/>
        <sz val="11"/>
        <color theme="1"/>
        <rFont val="Arial"/>
        <family val="2"/>
      </rPr>
      <t>abfrostender Kulturen</t>
    </r>
    <r>
      <rPr>
        <sz val="11"/>
        <color theme="1"/>
        <rFont val="Arial"/>
        <family val="2"/>
      </rPr>
      <t xml:space="preserve"> untergliedert</t>
    </r>
  </si>
  <si>
    <r>
      <t xml:space="preserve">Die Preise je kg und die Reinsaatstärke können angepasst werden. </t>
    </r>
    <r>
      <rPr>
        <b/>
        <sz val="11"/>
        <color theme="1"/>
        <rFont val="Arial"/>
        <family val="2"/>
      </rPr>
      <t>Oben RECHTS</t>
    </r>
    <r>
      <rPr>
        <sz val="11"/>
        <color theme="1"/>
        <rFont val="Arial"/>
        <family val="2"/>
      </rPr>
      <t xml:space="preserve"> werden </t>
    </r>
    <r>
      <rPr>
        <b/>
        <sz val="11"/>
        <color theme="1"/>
        <rFont val="Arial"/>
        <family val="2"/>
      </rPr>
      <t>relative Saatstärke</t>
    </r>
    <r>
      <rPr>
        <sz val="11"/>
        <color theme="1"/>
        <rFont val="Arial"/>
        <family val="2"/>
      </rPr>
      <t xml:space="preserve"> aus allen gewählten Kulturen und Mischungen, der </t>
    </r>
    <r>
      <rPr>
        <b/>
        <sz val="11"/>
        <color theme="1"/>
        <rFont val="Arial"/>
        <family val="2"/>
      </rPr>
      <t>Preis je ha</t>
    </r>
    <r>
      <rPr>
        <sz val="11"/>
        <color theme="1"/>
        <rFont val="Arial"/>
        <family val="2"/>
      </rPr>
      <t xml:space="preserve"> und die </t>
    </r>
    <r>
      <rPr>
        <b/>
        <sz val="11"/>
        <color theme="1"/>
        <rFont val="Arial"/>
        <family val="2"/>
      </rPr>
      <t>Saatgutmenge je ha</t>
    </r>
    <r>
      <rPr>
        <sz val="11"/>
        <color theme="1"/>
        <rFont val="Arial"/>
        <family val="2"/>
      </rPr>
      <t xml:space="preserve"> angezeigt.</t>
    </r>
  </si>
  <si>
    <r>
      <t xml:space="preserve">Um die Berechnung vollständig ausführen zu können müssen die </t>
    </r>
    <r>
      <rPr>
        <b/>
        <u/>
        <sz val="11"/>
        <color theme="1"/>
        <rFont val="Arial"/>
        <family val="2"/>
      </rPr>
      <t>betreffende Fläche</t>
    </r>
    <r>
      <rPr>
        <sz val="11"/>
        <color theme="1"/>
        <rFont val="Arial"/>
        <family val="2"/>
      </rPr>
      <t xml:space="preserve"> und die </t>
    </r>
    <r>
      <rPr>
        <b/>
        <u/>
        <sz val="11"/>
        <color theme="1"/>
        <rFont val="Arial"/>
        <family val="2"/>
      </rPr>
      <t>geplante Saatgutmenge je ha</t>
    </r>
    <r>
      <rPr>
        <sz val="11"/>
        <color theme="1"/>
        <rFont val="Arial"/>
        <family val="2"/>
      </rPr>
      <t xml:space="preserve"> angeführt werden.</t>
    </r>
  </si>
  <si>
    <r>
      <rPr>
        <u/>
        <sz val="20"/>
        <rFont val="Arial"/>
        <family val="2"/>
      </rPr>
      <t>►</t>
    </r>
    <r>
      <rPr>
        <u/>
        <sz val="12"/>
        <rFont val="Arial"/>
        <family val="2"/>
      </rPr>
      <t xml:space="preserve"> HIER gelangen Sie zur Zusammenfassung</t>
    </r>
  </si>
  <si>
    <t>Der Bereich Zusammenfassung BIO enthält eine Listung der im Begrünungsrechner ausgewählten Kulturen, den diesbezüglichen Saatgutmengen und Anteilen an der gesamten Mischung. Diese kann anschließend ausgedruckt werden.</t>
  </si>
  <si>
    <r>
      <t xml:space="preserve">Durch einen </t>
    </r>
    <r>
      <rPr>
        <b/>
        <u/>
        <sz val="12"/>
        <color theme="1"/>
        <rFont val="Arial"/>
        <family val="2"/>
      </rPr>
      <t>KLICK</t>
    </r>
    <r>
      <rPr>
        <sz val="12"/>
        <color theme="1"/>
        <rFont val="Arial"/>
        <family val="2"/>
      </rPr>
      <t xml:space="preserve"> auf die folgenden Schaltflächen bzw. durch Auswahl der entsprechenden Tabellenblätter gelangen Sie zu den einzelnen Bereichen.</t>
    </r>
  </si>
  <si>
    <r>
      <t xml:space="preserve">Durch einen KLICK auf diesen Link </t>
    </r>
    <r>
      <rPr>
        <u/>
        <sz val="20"/>
        <rFont val="Arial"/>
        <family val="2"/>
      </rPr>
      <t>►</t>
    </r>
    <r>
      <rPr>
        <u/>
        <sz val="12"/>
        <rFont val="Arial"/>
        <family val="2"/>
      </rPr>
      <t xml:space="preserve"> gelangen Sie zu den </t>
    </r>
    <r>
      <rPr>
        <b/>
        <u/>
        <sz val="12"/>
        <rFont val="Arial"/>
        <family val="2"/>
      </rPr>
      <t>Anbauzeitpunkten</t>
    </r>
  </si>
  <si>
    <r>
      <rPr>
        <u/>
        <sz val="20"/>
        <rFont val="Arial"/>
        <family val="2"/>
      </rPr>
      <t>►</t>
    </r>
    <r>
      <rPr>
        <u/>
        <sz val="12"/>
        <rFont val="Arial"/>
        <family val="2"/>
      </rPr>
      <t xml:space="preserve"> Hier gelangen Sie zum Begrünungsrechner BIO</t>
    </r>
  </si>
  <si>
    <r>
      <rPr>
        <u/>
        <sz val="20"/>
        <rFont val="Arial"/>
        <family val="2"/>
      </rPr>
      <t>►</t>
    </r>
    <r>
      <rPr>
        <u/>
        <sz val="12"/>
        <rFont val="Arial"/>
        <family val="2"/>
      </rPr>
      <t xml:space="preserve"> HIER gelangen Sie zur Zusammenfassung BIO</t>
    </r>
  </si>
  <si>
    <t>INFORMATIONSBEREICH</t>
  </si>
  <si>
    <t>KONTAKT:</t>
  </si>
  <si>
    <t>https://www.bwsb.at/</t>
  </si>
  <si>
    <t>simon.kriegner-schramml@lk-ooe.at</t>
  </si>
  <si>
    <t>Fragen und Anregungen an:</t>
  </si>
  <si>
    <r>
      <rPr>
        <sz val="22"/>
        <rFont val="Arial"/>
        <family val="2"/>
      </rPr>
      <t>◄</t>
    </r>
    <r>
      <rPr>
        <sz val="12"/>
        <rFont val="Arial"/>
        <family val="2"/>
      </rPr>
      <t xml:space="preserve"> ZURÜCK ZUR STARTSEITE / BEDIENUNGSANLEITUNG</t>
    </r>
  </si>
  <si>
    <t>Pflanzenfamilie</t>
  </si>
  <si>
    <r>
      <t xml:space="preserve">Futtererbse </t>
    </r>
    <r>
      <rPr>
        <b/>
        <sz val="12"/>
        <rFont val="Arial"/>
        <family val="2"/>
      </rPr>
      <t>BIO</t>
    </r>
  </si>
  <si>
    <r>
      <t xml:space="preserve">Meliorationsrettich </t>
    </r>
    <r>
      <rPr>
        <b/>
        <sz val="12"/>
        <rFont val="Arial"/>
        <family val="2"/>
      </rPr>
      <t>BIO</t>
    </r>
  </si>
  <si>
    <r>
      <t xml:space="preserve">Ölrettich </t>
    </r>
    <r>
      <rPr>
        <b/>
        <sz val="12"/>
        <rFont val="Arial"/>
        <family val="2"/>
      </rPr>
      <t>BIO</t>
    </r>
  </si>
  <si>
    <t>Version:</t>
  </si>
  <si>
    <t>Leguminose</t>
  </si>
  <si>
    <t>Knöterichgewächse</t>
  </si>
  <si>
    <t>Korbblütler</t>
  </si>
  <si>
    <t>Wasserblattgewächse</t>
  </si>
  <si>
    <t>Malvengewächse</t>
  </si>
  <si>
    <t>Anzahl Mischungspartner</t>
  </si>
  <si>
    <t>Anzahl Familien</t>
  </si>
  <si>
    <t xml:space="preserve">ÖPUL 2015 Varianten </t>
  </si>
  <si>
    <t>Variante 2</t>
  </si>
  <si>
    <t>Variante</t>
  </si>
  <si>
    <t>Mischungspartner</t>
  </si>
  <si>
    <t>Variante 3</t>
  </si>
  <si>
    <t>Variante 4</t>
  </si>
  <si>
    <t>Varainte 5</t>
  </si>
  <si>
    <t>Variante 6</t>
  </si>
  <si>
    <t>Insektenblütig</t>
  </si>
  <si>
    <t>Variante 1</t>
  </si>
  <si>
    <t>Var 6 konform</t>
  </si>
  <si>
    <t>Mischung zu Variante Konform?</t>
  </si>
  <si>
    <t>In Begrünungsliste ausgewählt ?</t>
  </si>
  <si>
    <t>Var. 6 konform</t>
  </si>
  <si>
    <t>ja</t>
  </si>
  <si>
    <t>Summe Insektenblütige Mischungspartner</t>
  </si>
  <si>
    <t>Var 6 GSR, WE</t>
  </si>
  <si>
    <t>€/kg</t>
  </si>
  <si>
    <t>TL Rigol TR</t>
  </si>
  <si>
    <t>TL Beta Maxx TR</t>
  </si>
  <si>
    <t>Phacelia, Öllein, Rauhafer, Ramtillkraut, Felderbse, Sommerwicke, Serradella, Alexandrinerklee, Blaue Lupine</t>
  </si>
  <si>
    <t>HR 135 Soja - Fit</t>
  </si>
  <si>
    <t>HR 136 Drahtwurm - Fit</t>
  </si>
  <si>
    <t>HR 155 Landsberger Gemenge</t>
  </si>
  <si>
    <t>HR 065 Wildacker mehrjährig</t>
  </si>
  <si>
    <t>Engl. Raygras, Timothe, Serradella, Malve, Weißklee, Perserklee, Luzerne, Inkarnatklee, Raps, Buchweizen, Herbstrüben, Markstammkohl, Ölrettich, Winterrübsen, Waldstaudenroggen, Pannonische Wicke, Kräutermischung</t>
  </si>
  <si>
    <t>AckerGrün Biodiversitätsmischung BlühmixPluss</t>
  </si>
  <si>
    <t>WILDBLUMENPLUSS 1KG</t>
  </si>
  <si>
    <t>WILDBLUMENPLUSS 5KG</t>
  </si>
  <si>
    <t>DIVERSITÄTSMISCHUNG ÖPUL 2023</t>
  </si>
  <si>
    <t>BODENFIT</t>
  </si>
  <si>
    <t>MULCHFIT</t>
  </si>
  <si>
    <t>NITROFIT</t>
  </si>
  <si>
    <t>WINTERFIT</t>
  </si>
  <si>
    <t>Pflanzenfamilie ausgewählt</t>
  </si>
  <si>
    <t>Doldenblütler</t>
  </si>
  <si>
    <t>Gänsefußgewächse</t>
  </si>
  <si>
    <t>Hanfgewächse</t>
  </si>
  <si>
    <t>Leingewächse</t>
  </si>
  <si>
    <t>Familien Drop Down</t>
  </si>
  <si>
    <t>▼</t>
  </si>
  <si>
    <t>Drop Down JA Nein insektenblütig</t>
  </si>
  <si>
    <t>Ja</t>
  </si>
  <si>
    <t>Nein</t>
  </si>
  <si>
    <t>insektenblütig JA / NEIN:</t>
  </si>
  <si>
    <t>Familie ausgewählt</t>
  </si>
  <si>
    <t xml:space="preserve"> Kärntner Saatbau - Mischungen</t>
  </si>
  <si>
    <t>Bereich integrierte Produktion</t>
  </si>
  <si>
    <t>Bereich biologische Produktion</t>
  </si>
  <si>
    <r>
      <t>Der Begrünungsrechner ist grob in die Bereiche</t>
    </r>
    <r>
      <rPr>
        <b/>
        <u/>
        <sz val="12"/>
        <color theme="1"/>
        <rFont val="Arial"/>
        <family val="2"/>
      </rPr>
      <t xml:space="preserve"> integrierte Produktion</t>
    </r>
    <r>
      <rPr>
        <sz val="12"/>
        <color theme="1"/>
        <rFont val="Arial"/>
        <family val="2"/>
      </rPr>
      <t>,</t>
    </r>
    <r>
      <rPr>
        <b/>
        <sz val="12"/>
        <color theme="1"/>
        <rFont val="Arial"/>
        <family val="2"/>
      </rPr>
      <t xml:space="preserve"> </t>
    </r>
    <r>
      <rPr>
        <b/>
        <u/>
        <sz val="12"/>
        <color theme="1"/>
        <rFont val="Arial"/>
        <family val="2"/>
      </rPr>
      <t>BIO</t>
    </r>
    <r>
      <rPr>
        <sz val="12"/>
        <color theme="1"/>
        <rFont val="Arial"/>
        <family val="2"/>
      </rPr>
      <t xml:space="preserve"> und den </t>
    </r>
    <r>
      <rPr>
        <b/>
        <u/>
        <sz val="12"/>
        <color theme="1"/>
        <rFont val="Arial"/>
        <family val="2"/>
      </rPr>
      <t>Informationsbereich</t>
    </r>
    <r>
      <rPr>
        <sz val="12"/>
        <color theme="1"/>
        <rFont val="Arial"/>
        <family val="2"/>
      </rPr>
      <t xml:space="preserve"> untergliedert.</t>
    </r>
  </si>
  <si>
    <r>
      <t xml:space="preserve">Dieser Bereich ist in die Tabellenblätter </t>
    </r>
    <r>
      <rPr>
        <b/>
        <u/>
        <sz val="11"/>
        <color theme="1"/>
        <rFont val="Arial"/>
        <family val="2"/>
      </rPr>
      <t>"Begr.- Rechner int. Prod."</t>
    </r>
    <r>
      <rPr>
        <sz val="11"/>
        <color theme="1"/>
        <rFont val="Arial"/>
        <family val="2"/>
      </rPr>
      <t xml:space="preserve"> und "</t>
    </r>
    <r>
      <rPr>
        <b/>
        <u/>
        <sz val="11"/>
        <color theme="1"/>
        <rFont val="Arial"/>
        <family val="2"/>
      </rPr>
      <t>Zusammenfassung int. Prod."</t>
    </r>
    <r>
      <rPr>
        <sz val="11"/>
        <color theme="1"/>
        <rFont val="Arial"/>
        <family val="2"/>
      </rPr>
      <t xml:space="preserve"> unterteilt.</t>
    </r>
  </si>
  <si>
    <r>
      <t xml:space="preserve">Der Bereich </t>
    </r>
    <r>
      <rPr>
        <b/>
        <u/>
        <sz val="11"/>
        <color theme="1"/>
        <rFont val="Arial"/>
        <family val="2"/>
      </rPr>
      <t>BIO</t>
    </r>
    <r>
      <rPr>
        <sz val="11"/>
        <color theme="1"/>
        <rFont val="Arial"/>
        <family val="2"/>
      </rPr>
      <t xml:space="preserve"> enthält ausgewählte </t>
    </r>
    <r>
      <rPr>
        <b/>
        <sz val="11"/>
        <color theme="1"/>
        <rFont val="Arial"/>
        <family val="2"/>
      </rPr>
      <t>Einzelkulturen</t>
    </r>
    <r>
      <rPr>
        <b/>
        <sz val="11"/>
        <color theme="1"/>
        <rFont val="Arial"/>
        <family val="2"/>
      </rPr>
      <t>, welche für biologisch wirtschaftende Betriebe geeignet sind.</t>
    </r>
  </si>
  <si>
    <r>
      <t xml:space="preserve">Der Bereich integrierte Produktion enthält ausgewählte </t>
    </r>
    <r>
      <rPr>
        <b/>
        <sz val="11"/>
        <color theme="1"/>
        <rFont val="Arial"/>
        <family val="2"/>
      </rPr>
      <t>Einzelkulturen,</t>
    </r>
    <r>
      <rPr>
        <sz val="11"/>
        <color theme="1"/>
        <rFont val="Arial"/>
        <family val="2"/>
      </rPr>
      <t xml:space="preserve"> welche für den integriert wirtschaftenden landwirtschaftlichen Betrieb geeignet sind.</t>
    </r>
  </si>
  <si>
    <t>Der Bereich Zusammenfassung integrierte Produktion enthält eine Listung der im Begrünungsrechner ausgewählten Kulturen, den diesbezüglichen Saatgutmengen und Anteilen an der gesamten Mischung. Diese kann anschließend ausgedruckt werden.</t>
  </si>
  <si>
    <t>Begrünungen - Einzelkulturen</t>
  </si>
  <si>
    <t>Englisches Raygras (Deutsches Weidelgras)</t>
  </si>
  <si>
    <t>120 - 160</t>
  </si>
  <si>
    <t>Italienisches Raygras (Welsches Weidelgras)</t>
  </si>
  <si>
    <r>
      <t xml:space="preserve">Italienisches Raygras </t>
    </r>
    <r>
      <rPr>
        <b/>
        <sz val="12"/>
        <rFont val="Arial"/>
        <family val="2"/>
      </rPr>
      <t>BIO</t>
    </r>
  </si>
  <si>
    <t>Kresse</t>
  </si>
  <si>
    <t>396 - 528</t>
  </si>
  <si>
    <t>Spitzwegerich</t>
  </si>
  <si>
    <t>Winterfuttererbse</t>
  </si>
  <si>
    <t>120 - 150</t>
  </si>
  <si>
    <r>
      <t xml:space="preserve">Winterfuttererbse </t>
    </r>
    <r>
      <rPr>
        <b/>
        <sz val="12"/>
        <rFont val="Arial"/>
        <family val="2"/>
      </rPr>
      <t>BIO</t>
    </r>
  </si>
  <si>
    <t>Winterrübse</t>
  </si>
  <si>
    <t>Zichorie</t>
  </si>
  <si>
    <t>Zwerghirse</t>
  </si>
  <si>
    <t>€/kg*</t>
  </si>
  <si>
    <t>€/ha*</t>
  </si>
  <si>
    <t>Zusammensetzung der Begrünungsmischungen / Anmerkungen</t>
  </si>
  <si>
    <t>HR 134 Ackeruntersaat</t>
  </si>
  <si>
    <t>Westerw. Raygras, Weißklee, Ital. Raygras</t>
  </si>
  <si>
    <t>Gartenkresse, Ramtillkraut, Sareptasenf, Winterrübsen, Phazelie, Ölrettich, Sandhafer, Buchweizen</t>
  </si>
  <si>
    <t>Perserklee, Ringelblume, Sandhafer, Alexandrinerklee, Ölrettich nem., Gelbsenf nem., Studentenblume</t>
  </si>
  <si>
    <t>Gartenkresse, Meliorationsrettich, Buchweizen, Ölrettich, Gelbsenf, Phazelie, Inkarnatklee</t>
  </si>
  <si>
    <t>Gartenkresse, Ramtillkraut, Gelbsenf, Alexandrinerklee, Buchweizen, Phazelie</t>
  </si>
  <si>
    <t>Ölrettich nem., Gelbsenf nem. Ramtillkraut, Phazelie, Alexandrinerklee</t>
  </si>
  <si>
    <t>Gartenkresse, Leindotter, Buchweizen, Ölrettich, Phazelie</t>
  </si>
  <si>
    <t>Ramtillkraut, Alexandrinerklee, Ölrettich, Inkarnatklee, Phazelie</t>
  </si>
  <si>
    <t>HR 144 Gründecke Neutral IBM/Bienen</t>
  </si>
  <si>
    <t>HR 145 Gründecke Vital IBM/Bienen</t>
  </si>
  <si>
    <t>HR 147 Rapsuntersaat</t>
  </si>
  <si>
    <t xml:space="preserve">€/kg oder Pkg. </t>
  </si>
  <si>
    <t>AckerGrün Begrünungsmischung AquaPluss früh</t>
  </si>
  <si>
    <r>
      <t xml:space="preserve">AckerGrün Begrünungsmischung BioPluss </t>
    </r>
    <r>
      <rPr>
        <b/>
        <sz val="12"/>
        <rFont val="Arial"/>
        <family val="2"/>
      </rPr>
      <t>BIO</t>
    </r>
  </si>
  <si>
    <t xml:space="preserve">AckerGrün Begrünungsmischung BodenPluss  </t>
  </si>
  <si>
    <t xml:space="preserve">AckerGrün Begrünungsmischung ÖpulPluss </t>
  </si>
  <si>
    <r>
      <t xml:space="preserve">AckerGrün Begrünungsmischung ÖpulPluss </t>
    </r>
    <r>
      <rPr>
        <b/>
        <sz val="12"/>
        <rFont val="Arial"/>
        <family val="2"/>
      </rPr>
      <t>BIO</t>
    </r>
  </si>
  <si>
    <r>
      <t xml:space="preserve">AckerGrün Leguminosengemenge </t>
    </r>
    <r>
      <rPr>
        <b/>
        <sz val="12"/>
        <rFont val="Arial"/>
        <family val="2"/>
      </rPr>
      <t>BIO</t>
    </r>
  </si>
  <si>
    <t>AckerGrün RapsuntersaatPluss</t>
  </si>
  <si>
    <t>AckerGrün Wickroggen Gemenge</t>
  </si>
  <si>
    <r>
      <t xml:space="preserve">AckerGrün Wickroggen Gemenge </t>
    </r>
    <r>
      <rPr>
        <b/>
        <sz val="12"/>
        <rFont val="Arial"/>
        <family val="2"/>
      </rPr>
      <t>BIO</t>
    </r>
  </si>
  <si>
    <r>
      <t xml:space="preserve">WiesenGrün Landsberger Gemenge </t>
    </r>
    <r>
      <rPr>
        <b/>
        <sz val="12"/>
        <rFont val="Arial"/>
        <family val="2"/>
      </rPr>
      <t xml:space="preserve">BIO </t>
    </r>
    <r>
      <rPr>
        <sz val="12"/>
        <rFont val="Arial"/>
        <family val="2"/>
      </rPr>
      <t>ST 1</t>
    </r>
  </si>
  <si>
    <t>30 - 35</t>
  </si>
  <si>
    <t>Habitat - Bündnis pro NW</t>
  </si>
  <si>
    <t>35 - 40</t>
  </si>
  <si>
    <t>20 - 40</t>
  </si>
  <si>
    <t>REGIO-DIV ACKER</t>
  </si>
  <si>
    <t>FABAFIT</t>
  </si>
  <si>
    <t>Aufwandmenge</t>
  </si>
  <si>
    <t>€/Pkg</t>
  </si>
  <si>
    <t>Anmerkung</t>
  </si>
  <si>
    <t xml:space="preserve">1 Pkg. für 25 kg Saatgut </t>
  </si>
  <si>
    <r>
      <rPr>
        <b/>
        <sz val="12"/>
        <rFont val="Arial"/>
        <family val="2"/>
      </rPr>
      <t>ReNatura BD 3</t>
    </r>
    <r>
      <rPr>
        <sz val="12"/>
        <rFont val="Arial"/>
        <family val="2"/>
      </rPr>
      <t xml:space="preserve"> Biodiversitätsmischung  Universal (herkunfszertifiziert nach G-Zert)</t>
    </r>
  </si>
  <si>
    <r>
      <rPr>
        <b/>
        <u/>
        <sz val="12"/>
        <rFont val="Arial"/>
        <family val="2"/>
      </rPr>
      <t>Regionale Blühmischung:</t>
    </r>
    <r>
      <rPr>
        <sz val="12"/>
        <rFont val="Arial"/>
        <family val="2"/>
      </rPr>
      <t xml:space="preserve">
</t>
    </r>
    <r>
      <rPr>
        <b/>
        <sz val="12"/>
        <rFont val="Arial"/>
        <family val="2"/>
      </rPr>
      <t>ReNatura BD 1</t>
    </r>
    <r>
      <rPr>
        <sz val="12"/>
        <rFont val="Arial"/>
        <family val="2"/>
      </rPr>
      <t xml:space="preserve"> Biodiversitätsmischung für Grünland  (herkunfszertifiziert nach G-Zert)</t>
    </r>
  </si>
  <si>
    <r>
      <rPr>
        <b/>
        <u/>
        <sz val="12"/>
        <rFont val="Arial"/>
        <family val="2"/>
      </rPr>
      <t>Regionale Blühmischung:</t>
    </r>
    <r>
      <rPr>
        <sz val="12"/>
        <rFont val="Arial"/>
        <family val="2"/>
      </rPr>
      <t xml:space="preserve">
</t>
    </r>
    <r>
      <rPr>
        <b/>
        <sz val="12"/>
        <rFont val="Arial"/>
        <family val="2"/>
      </rPr>
      <t>ReNatura BD 2</t>
    </r>
    <r>
      <rPr>
        <sz val="12"/>
        <rFont val="Arial"/>
        <family val="2"/>
      </rPr>
      <t xml:space="preserve"> Biodiversitätsmischung für Acker  (herkunfszertifiziert nach G-Zert)</t>
    </r>
  </si>
  <si>
    <t>Kulturarten, Sorten, Saatgutmischungen und Preise stellen Orientierungshilfen dar - ohne Gewähr auf dauernde Verfügbarkeit.</t>
  </si>
  <si>
    <t>Wegerichgewächse</t>
  </si>
  <si>
    <t>Var 6 konform:</t>
  </si>
  <si>
    <t>Kosten
je ha
 in €</t>
  </si>
  <si>
    <t>Drop  Down JA Nein Var. 6</t>
  </si>
  <si>
    <t>Pannonische Wicke</t>
  </si>
  <si>
    <t>Winterackerbohne</t>
  </si>
  <si>
    <t>Wintererbse</t>
  </si>
  <si>
    <t>Var 6</t>
  </si>
  <si>
    <t>Anzahl Pflanzenfamilien</t>
  </si>
  <si>
    <t>geeignet für ÖPUL Begrünungsvarianten gem. ÖPUL 2023</t>
  </si>
  <si>
    <t>relativer Leguminosenanteil:</t>
  </si>
  <si>
    <t>Variante 7</t>
  </si>
  <si>
    <t>Liste der Begrünungen</t>
  </si>
  <si>
    <r>
      <t xml:space="preserve">Esparsette </t>
    </r>
    <r>
      <rPr>
        <b/>
        <sz val="12"/>
        <rFont val="Arial"/>
        <family val="2"/>
      </rPr>
      <t>BIO</t>
    </r>
  </si>
  <si>
    <t>Linse</t>
  </si>
  <si>
    <r>
      <t xml:space="preserve">Linse </t>
    </r>
    <r>
      <rPr>
        <b/>
        <sz val="12"/>
        <rFont val="Arial"/>
        <family val="2"/>
      </rPr>
      <t>BIO</t>
    </r>
  </si>
  <si>
    <t>Steinklee gelb</t>
  </si>
  <si>
    <t>Agrana Mischungen</t>
  </si>
  <si>
    <t>BETA-FLORIN SH (Feuchtgebiet)</t>
  </si>
  <si>
    <t>BETA-FLORIN TG PLUS (Trockengebiet)</t>
  </si>
  <si>
    <t>TL CoolSeason</t>
  </si>
  <si>
    <t>TL MaisPro TR (Greening 50)</t>
  </si>
  <si>
    <t>TL Beta Maxx 50 (mit Lupine)</t>
  </si>
  <si>
    <t>TL N-Fixx</t>
  </si>
  <si>
    <t>TL AquaPro</t>
  </si>
  <si>
    <t>TL SolaRigol (mit Lupine)</t>
  </si>
  <si>
    <t>Ramtillkraut, Phazelie, Alexandrinerklee</t>
  </si>
  <si>
    <t>Ramtillkraut, Gartenkresse, Buchweizen, Ölrettich, Phazelie, Meliorationsrettich</t>
  </si>
  <si>
    <t>Ramtillkraut, Inkarnatklee, Alexandrinerklee, Öllein</t>
  </si>
  <si>
    <t xml:space="preserve">AckerGrün Begrünungsmischung BodenlockerungsPluss  </t>
  </si>
  <si>
    <t>zusätzliche Produkte</t>
  </si>
  <si>
    <t>Zusammensetzung der Saatgutmischungen - Anmerkungen</t>
  </si>
  <si>
    <t>Meldung zu Düngemöglichkeit</t>
  </si>
  <si>
    <t>relativer Leguminosenanteil</t>
  </si>
  <si>
    <t>Wirtschaftsdüngerart</t>
  </si>
  <si>
    <t>Rindergülle</t>
  </si>
  <si>
    <t>Schweinegülle</t>
  </si>
  <si>
    <t>Hühnergülle</t>
  </si>
  <si>
    <t>Jauche</t>
  </si>
  <si>
    <t>JW Faktor</t>
  </si>
  <si>
    <t>Ausbringverluste</t>
  </si>
  <si>
    <t>Stallmist</t>
  </si>
  <si>
    <t>Kompost</t>
  </si>
  <si>
    <t>Rottemist</t>
  </si>
  <si>
    <t>Resultat ab Lager</t>
  </si>
  <si>
    <t>Resultat jw</t>
  </si>
  <si>
    <t>Anlage5 Gebiete</t>
  </si>
  <si>
    <t>außerhalb Anlage 5 Gebiete</t>
  </si>
  <si>
    <t>Düngeobergrenzen im Herbst
gem. NAPV:</t>
  </si>
  <si>
    <r>
      <t xml:space="preserve">Zulässige Düngung im </t>
    </r>
    <r>
      <rPr>
        <b/>
        <u/>
        <sz val="11"/>
        <color indexed="9"/>
        <rFont val="Arial"/>
        <family val="2"/>
      </rPr>
      <t>Herbst</t>
    </r>
    <r>
      <rPr>
        <b/>
        <sz val="11"/>
        <color indexed="9"/>
        <rFont val="Arial"/>
        <family val="2"/>
      </rPr>
      <t>:</t>
    </r>
  </si>
  <si>
    <t>Mischungsanteil Leguminosen
(relativer Reinsaatanteil)</t>
  </si>
  <si>
    <t>Saatwicke / Sommerwicke</t>
  </si>
  <si>
    <r>
      <t xml:space="preserve">Sie können hier den entsprechenden Preis eingeben - 
</t>
    </r>
    <r>
      <rPr>
        <sz val="11"/>
        <rFont val="Arial"/>
        <family val="2"/>
      </rPr>
      <t>die vorausgefüllten Werte entsprechen Durchschnittswerten laut Preisspanne gem. Begrünungstabelle 2025</t>
    </r>
    <r>
      <rPr>
        <b/>
        <sz val="11"/>
        <rFont val="Arial"/>
        <family val="2"/>
      </rPr>
      <t xml:space="preserve">
</t>
    </r>
  </si>
  <si>
    <r>
      <t xml:space="preserve">Sie können hier den entsprechenden Preis eingeben - 
</t>
    </r>
    <r>
      <rPr>
        <sz val="11"/>
        <rFont val="Arial"/>
        <family val="2"/>
      </rPr>
      <t>die vorausgefüllten Werte entsprechen Durchschnittswerten laut Preisspanne gem. Begrünungstabelle 2025</t>
    </r>
  </si>
  <si>
    <t>Sandhafer / Rauhafer</t>
  </si>
  <si>
    <t>Winterrübsen</t>
  </si>
  <si>
    <t>Öllein</t>
  </si>
  <si>
    <t>Buchweizen Handelsware</t>
  </si>
  <si>
    <t>Einjähriges Raygras</t>
  </si>
  <si>
    <t>Krumenklee</t>
  </si>
  <si>
    <t>303,6 - 379,5</t>
  </si>
  <si>
    <t>TL WarmSeason AT</t>
  </si>
  <si>
    <t>TL VitaMaxx TR AT</t>
  </si>
  <si>
    <t>Rauhafer, Sorghum, Sommerwicke, Felderbse, Tiefenrettich, Öllein, Ramtillkraut, Sonnenblume, Phacelia, Alexandrinerklee, Leindotter, Abessinischer Kohl</t>
  </si>
  <si>
    <t>TL SolaRigol AT</t>
  </si>
  <si>
    <t>TL SolaRigol R</t>
  </si>
  <si>
    <t xml:space="preserve">TL FutterGreen einjährig </t>
  </si>
  <si>
    <t>HR 137 Gründecke mit Meliorationsrettich   H2O+    (Wasserschutz)</t>
  </si>
  <si>
    <t>HR 140 Gründecke Classic   IBM/Bienen</t>
  </si>
  <si>
    <t>HR 141 Gründecke Nematoden    IBM/Bienen</t>
  </si>
  <si>
    <t>HR 142 Gründecke  Universal  IBM/Bienen</t>
  </si>
  <si>
    <t>HR 143 Gründecke Spezial  IBM/Bienen</t>
  </si>
  <si>
    <t>k.A.</t>
  </si>
  <si>
    <t>HR 146 Gründecke Plus     IBM/Bienen</t>
  </si>
  <si>
    <t>Alexandrinerklee, Krumenklee, Inkarnatklee, Ramtillkraut, Phazelie</t>
  </si>
  <si>
    <t xml:space="preserve">RWA Saatgutmischungen  </t>
  </si>
  <si>
    <t xml:space="preserve">AckerGrün Begrünungsmischung HumusPluss </t>
  </si>
  <si>
    <t>AckerGrün Begrünungsmischung KürbisPluss</t>
  </si>
  <si>
    <r>
      <t xml:space="preserve">AckerGrün WeingartenPluss </t>
    </r>
    <r>
      <rPr>
        <b/>
        <sz val="12"/>
        <rFont val="Arial"/>
        <family val="2"/>
      </rPr>
      <t>BIO</t>
    </r>
  </si>
  <si>
    <t xml:space="preserve">AckerGrün Leguminosengemenge </t>
  </si>
  <si>
    <t>Bienenweide einjährig  "TÜBINGER Art"</t>
  </si>
  <si>
    <t>Bienenweide mehrjährig  "VEITSHÖCHHEIMER Art"</t>
  </si>
  <si>
    <t>RAPSFIT</t>
  </si>
  <si>
    <t>Wassergüte FEIN</t>
  </si>
  <si>
    <t>Wassergüte FRÜH</t>
  </si>
  <si>
    <t>Wassergüte RAU</t>
  </si>
  <si>
    <t>229,8 - 268,1</t>
  </si>
  <si>
    <t>Meliorationsrettich*</t>
  </si>
  <si>
    <t>Kresse*</t>
  </si>
  <si>
    <t>Sudangras*</t>
  </si>
  <si>
    <t>Winterfutterraps*</t>
  </si>
  <si>
    <t>Sommerfutterraps*</t>
  </si>
  <si>
    <t>Steinklee gelb*</t>
  </si>
  <si>
    <t>Zichorie*</t>
  </si>
  <si>
    <t>Gelbklee*</t>
  </si>
  <si>
    <t>Hornklee*</t>
  </si>
  <si>
    <t>Bitterlupine*</t>
  </si>
  <si>
    <t>Ringelblume*</t>
  </si>
  <si>
    <t>Schwedenklee*</t>
  </si>
  <si>
    <t>Spitzwegerich*</t>
  </si>
  <si>
    <t>Zwerghirse*</t>
  </si>
  <si>
    <r>
      <t xml:space="preserve">Bastardraygras </t>
    </r>
    <r>
      <rPr>
        <b/>
        <sz val="12"/>
        <rFont val="Arial"/>
        <family val="2"/>
      </rPr>
      <t>BIO</t>
    </r>
  </si>
  <si>
    <r>
      <t xml:space="preserve">Buchweizen Handelsware </t>
    </r>
    <r>
      <rPr>
        <b/>
        <sz val="12"/>
        <rFont val="Arial"/>
        <family val="2"/>
      </rPr>
      <t>BIO</t>
    </r>
  </si>
  <si>
    <r>
      <t xml:space="preserve">Hirse </t>
    </r>
    <r>
      <rPr>
        <b/>
        <sz val="12"/>
        <rFont val="Arial"/>
        <family val="2"/>
      </rPr>
      <t>BIO</t>
    </r>
  </si>
  <si>
    <r>
      <t xml:space="preserve">Persischer Klee </t>
    </r>
    <r>
      <rPr>
        <b/>
        <sz val="12"/>
        <rFont val="Arial"/>
        <family val="2"/>
      </rPr>
      <t>BIO</t>
    </r>
  </si>
  <si>
    <r>
      <t xml:space="preserve">Saatplatterbse </t>
    </r>
    <r>
      <rPr>
        <b/>
        <sz val="12"/>
        <rFont val="Arial"/>
        <family val="2"/>
      </rPr>
      <t>BIO</t>
    </r>
  </si>
  <si>
    <t>Menge
Reinsaat je ha</t>
  </si>
  <si>
    <r>
      <t xml:space="preserve">Der Bereich Begrünungstabellen 2025 enthält eine </t>
    </r>
    <r>
      <rPr>
        <b/>
        <u/>
        <sz val="11"/>
        <color theme="1"/>
        <rFont val="Arial"/>
        <family val="2"/>
      </rPr>
      <t>Liste von Einzelkulturen und Begrünungsmischungen</t>
    </r>
    <r>
      <rPr>
        <sz val="11"/>
        <color theme="1"/>
        <rFont val="Arial"/>
        <family val="2"/>
      </rPr>
      <t xml:space="preserve"> mit einer Kurzbeschreibung</t>
    </r>
  </si>
  <si>
    <r>
      <t xml:space="preserve">Saatwicke / Sommerwicke </t>
    </r>
    <r>
      <rPr>
        <b/>
        <sz val="12"/>
        <rFont val="Arial"/>
        <family val="2"/>
      </rPr>
      <t>BIO</t>
    </r>
  </si>
  <si>
    <t>Winterrübsen*</t>
  </si>
  <si>
    <t>https://www.ages.at/pflanze/saat-und-pflanzgut/biosaatgut-datenbank#c18154</t>
  </si>
  <si>
    <t>Name der Mischung</t>
  </si>
  <si>
    <t>Düngerart:</t>
  </si>
  <si>
    <t>leicht</t>
  </si>
  <si>
    <t>Löslichkeit</t>
  </si>
  <si>
    <t>Menge in kg/ha</t>
  </si>
  <si>
    <t>20</t>
  </si>
  <si>
    <t>60</t>
  </si>
  <si>
    <t>10</t>
  </si>
  <si>
    <t>UNDERCOVER</t>
  </si>
  <si>
    <t>HYDROFIT</t>
  </si>
  <si>
    <t>FUTTERPROFI  EI überjähriges Kleegras</t>
  </si>
  <si>
    <t>Saatbau Linz</t>
  </si>
  <si>
    <t>AckerGrün Leguminosengemenge BIO</t>
  </si>
  <si>
    <t xml:space="preserve">Buchweizen </t>
  </si>
  <si>
    <t>Schwarzsamen/Ramtilkraut/Gingellikraut/Mungo</t>
  </si>
  <si>
    <t>Duringras</t>
  </si>
  <si>
    <t>Lupine</t>
  </si>
  <si>
    <t>Seradella</t>
  </si>
  <si>
    <t>Körnererbse</t>
  </si>
  <si>
    <t>Sojabohne</t>
  </si>
  <si>
    <t>Malve</t>
  </si>
  <si>
    <t>Kümmel</t>
  </si>
  <si>
    <t>Koriander</t>
  </si>
  <si>
    <t>Wegwarte</t>
  </si>
  <si>
    <t>Stoppelrübe</t>
  </si>
  <si>
    <t>Markstammkohl</t>
  </si>
  <si>
    <t>Gelbhirse</t>
  </si>
  <si>
    <t>Grünmais</t>
  </si>
  <si>
    <t>Fenchel</t>
  </si>
  <si>
    <t>16</t>
  </si>
  <si>
    <t>13</t>
  </si>
  <si>
    <t>Studentenblume</t>
  </si>
  <si>
    <t>TL BioMax Bio</t>
  </si>
  <si>
    <t>TL AquaPro Bio</t>
  </si>
  <si>
    <t>TL BetaMaxx Bio</t>
  </si>
  <si>
    <t>TL Solanum Bio</t>
  </si>
  <si>
    <t>Fläche in ha:</t>
  </si>
  <si>
    <t>AckerGrün Begrünungsmischung BioPluss BIO</t>
  </si>
  <si>
    <t>AckerGrün Begrünungsmischung ÖpulPluss BIO</t>
  </si>
  <si>
    <t>AckerGrün WeingartenPluss  BIO</t>
  </si>
  <si>
    <t>WiesenGrün Landsberger Gemenge BIO ST 1</t>
  </si>
  <si>
    <t>DSV</t>
  </si>
  <si>
    <t>HESA</t>
  </si>
  <si>
    <t>Agrana</t>
  </si>
  <si>
    <t>Kosten gesamt</t>
  </si>
  <si>
    <t>Kosten je ha</t>
  </si>
  <si>
    <t/>
  </si>
  <si>
    <t>Zukaufsmenge in kg</t>
  </si>
  <si>
    <t>Zukaufsmenge der Einzelkomponente in kg</t>
  </si>
  <si>
    <t>Kosten für Fertigmischung</t>
  </si>
  <si>
    <t>resultierende Kosten je ha</t>
  </si>
  <si>
    <t>empfohlene Saatstärke des Anbieters in kg/ha</t>
  </si>
  <si>
    <t>Reinsaatmenge</t>
  </si>
  <si>
    <t>resultierende Menge je ha in kg/ha</t>
  </si>
  <si>
    <t>Eigene Kultur 1</t>
  </si>
  <si>
    <t>Eigene Kultur 2</t>
  </si>
  <si>
    <t>Eigene Kultur 3</t>
  </si>
  <si>
    <t>Serradella</t>
  </si>
  <si>
    <t>Sparriger Klee</t>
  </si>
  <si>
    <t>7er Mischung</t>
  </si>
  <si>
    <t>winterhart + abfrostend</t>
  </si>
  <si>
    <t>Kreuzblütlerfrei</t>
  </si>
  <si>
    <t>Bienenmischung - früher Anbau</t>
  </si>
  <si>
    <t>Bienenmischung später Anbau</t>
  </si>
  <si>
    <t>Standardmischung</t>
  </si>
  <si>
    <t>Wurzelstark</t>
  </si>
  <si>
    <t>September</t>
  </si>
  <si>
    <t>Boden-Booster</t>
  </si>
  <si>
    <t>Familie</t>
  </si>
  <si>
    <t>BWSB-Mischungen</t>
  </si>
  <si>
    <t>Auswahl der zugekauften Fertigmischung</t>
  </si>
  <si>
    <t>enthaltene Komponenten</t>
  </si>
  <si>
    <t>Verketten</t>
  </si>
  <si>
    <t>RWA (Die Saat)</t>
  </si>
  <si>
    <t>Drop Down Auswahl</t>
  </si>
  <si>
    <t>Komponentenanzahl</t>
  </si>
  <si>
    <t>Familienanzahl</t>
  </si>
  <si>
    <t>Komponenten zählen</t>
  </si>
  <si>
    <t>Hier können fertige Mischungen mit eigenen Komponenten gemischt werden</t>
  </si>
  <si>
    <t>Saatstärke der geplanten Mischung in %
(Ziel &gt;= 100%):</t>
  </si>
  <si>
    <r>
      <t xml:space="preserve">resultierende Menge 
</t>
    </r>
    <r>
      <rPr>
        <b/>
        <sz val="12"/>
        <color theme="1"/>
        <rFont val="Arial"/>
        <family val="2"/>
      </rPr>
      <t>kg/ha</t>
    </r>
  </si>
  <si>
    <r>
      <rPr>
        <b/>
        <sz val="12"/>
        <color theme="1"/>
        <rFont val="Arial"/>
        <family val="2"/>
      </rPr>
      <t>Reinsaatstärke</t>
    </r>
    <r>
      <rPr>
        <sz val="12"/>
        <color theme="1"/>
        <rFont val="Arial"/>
        <family val="2"/>
      </rPr>
      <t xml:space="preserve"> Wert aus Begrünungsliste in </t>
    </r>
    <r>
      <rPr>
        <b/>
        <sz val="12"/>
        <color theme="1"/>
        <rFont val="Arial"/>
        <family val="2"/>
      </rPr>
      <t>kg/ha</t>
    </r>
  </si>
  <si>
    <r>
      <t xml:space="preserve">Kosten in </t>
    </r>
    <r>
      <rPr>
        <b/>
        <sz val="12"/>
        <color theme="1"/>
        <rFont val="Arial"/>
        <family val="2"/>
      </rPr>
      <t>€ je ha</t>
    </r>
  </si>
  <si>
    <r>
      <t xml:space="preserve">Kosten in 
</t>
    </r>
    <r>
      <rPr>
        <b/>
        <sz val="12"/>
        <color theme="1"/>
        <rFont val="Arial"/>
        <family val="2"/>
      </rPr>
      <t>€ gesamt</t>
    </r>
  </si>
  <si>
    <r>
      <t xml:space="preserve">Kosten in </t>
    </r>
    <r>
      <rPr>
        <b/>
        <sz val="12"/>
        <color theme="1"/>
        <rFont val="Arial"/>
        <family val="2"/>
      </rPr>
      <t>€ je kg</t>
    </r>
  </si>
  <si>
    <r>
      <t xml:space="preserve">resultierende 
</t>
    </r>
    <r>
      <rPr>
        <b/>
        <sz val="12"/>
        <color theme="1"/>
        <rFont val="Arial"/>
        <family val="2"/>
      </rPr>
      <t>Saatstärke in %</t>
    </r>
  </si>
  <si>
    <t>in diesem Tabellenblatt können Fertigmischungen mit weiteren Einzelkomponenten gemischt werden</t>
  </si>
  <si>
    <t>Kosten und Aussaatstärken werden berechnet</t>
  </si>
  <si>
    <t>Saatstärke der zugekauften Fertigmischung in %</t>
  </si>
  <si>
    <r>
      <rPr>
        <u/>
        <sz val="20"/>
        <rFont val="Arial"/>
        <family val="2"/>
      </rPr>
      <t>►</t>
    </r>
    <r>
      <rPr>
        <u/>
        <sz val="12"/>
        <rFont val="Arial"/>
        <family val="2"/>
      </rPr>
      <t xml:space="preserve"> HIER gelangen Sie zum Begrünungsrechner</t>
    </r>
  </si>
  <si>
    <r>
      <t xml:space="preserve">Dieser Bereich ist in die Tabellenblätter </t>
    </r>
    <r>
      <rPr>
        <b/>
        <u/>
        <sz val="11"/>
        <color theme="1"/>
        <rFont val="Arial"/>
        <family val="2"/>
      </rPr>
      <t>"Begr.-Rechner BIO"</t>
    </r>
    <r>
      <rPr>
        <sz val="11"/>
        <color theme="1"/>
        <rFont val="Arial"/>
        <family val="2"/>
      </rPr>
      <t xml:space="preserve"> und </t>
    </r>
    <r>
      <rPr>
        <b/>
        <u/>
        <sz val="11"/>
        <color theme="1"/>
        <rFont val="Arial"/>
        <family val="2"/>
      </rPr>
      <t>"Zusammenfassung BIO"</t>
    </r>
    <r>
      <rPr>
        <sz val="11"/>
        <color theme="1"/>
        <rFont val="Arial"/>
        <family val="2"/>
      </rPr>
      <t xml:space="preserve"> unterteilt.</t>
    </r>
  </si>
  <si>
    <r>
      <t xml:space="preserve">Um die Berechnung vollständig ausführen zu können, müssen die </t>
    </r>
    <r>
      <rPr>
        <b/>
        <u/>
        <sz val="11"/>
        <color theme="1"/>
        <rFont val="Arial"/>
        <family val="2"/>
      </rPr>
      <t>betreffende Fläche</t>
    </r>
    <r>
      <rPr>
        <sz val="11"/>
        <color theme="1"/>
        <rFont val="Arial"/>
        <family val="2"/>
      </rPr>
      <t xml:space="preserve"> und die 
</t>
    </r>
    <r>
      <rPr>
        <b/>
        <u/>
        <sz val="11"/>
        <color theme="1"/>
        <rFont val="Arial"/>
        <family val="2"/>
      </rPr>
      <t>geplante Saatgutmenge je ha</t>
    </r>
    <r>
      <rPr>
        <sz val="11"/>
        <color theme="1"/>
        <rFont val="Arial"/>
        <family val="2"/>
      </rPr>
      <t xml:space="preserve"> angeführt werden.</t>
    </r>
  </si>
  <si>
    <t>Düngeobergrenze gem. NAPV:</t>
  </si>
  <si>
    <r>
      <rPr>
        <sz val="11"/>
        <rFont val="Arial"/>
        <family val="2"/>
      </rPr>
      <t>angeführte Werte sind Durchschnitts- bzw. Beispielwerte</t>
    </r>
    <r>
      <rPr>
        <b/>
        <sz val="11"/>
        <rFont val="Arial"/>
        <family val="2"/>
      </rPr>
      <t xml:space="preserve">
Hier können auch eigene Werte eingetragen werden</t>
    </r>
  </si>
  <si>
    <r>
      <t xml:space="preserve">Düngeobergrenze in </t>
    </r>
    <r>
      <rPr>
        <b/>
        <sz val="11"/>
        <color theme="1"/>
        <rFont val="Arial"/>
        <family val="2"/>
      </rPr>
      <t>Nitratrisikogebieten</t>
    </r>
    <r>
      <rPr>
        <sz val="11"/>
        <color theme="1"/>
        <rFont val="Arial"/>
        <family val="2"/>
      </rPr>
      <t xml:space="preserve"> gem. NAPV Anlage 5:</t>
    </r>
  </si>
  <si>
    <t>Senf nematodenhemmend / nematodenresistent</t>
  </si>
  <si>
    <r>
      <rPr>
        <sz val="11"/>
        <rFont val="Arial"/>
        <family val="2"/>
      </rPr>
      <t>angeführte Werte sind Durchschnitts- bzw. Beispielwerte</t>
    </r>
    <r>
      <rPr>
        <b/>
        <sz val="11"/>
        <rFont val="Arial"/>
        <family val="2"/>
      </rPr>
      <t xml:space="preserve">
HIER können auch eigene Werte eingegeben werden</t>
    </r>
  </si>
  <si>
    <r>
      <rPr>
        <b/>
        <sz val="11"/>
        <color theme="1"/>
        <rFont val="Arial"/>
        <family val="2"/>
      </rPr>
      <t>Düngeobergrenze</t>
    </r>
    <r>
      <rPr>
        <sz val="11"/>
        <color theme="1"/>
        <rFont val="Arial"/>
        <family val="2"/>
      </rPr>
      <t xml:space="preserve"> gem. NAPV:</t>
    </r>
  </si>
  <si>
    <r>
      <rPr>
        <b/>
        <sz val="11"/>
        <color theme="1"/>
        <rFont val="Arial"/>
        <family val="2"/>
      </rPr>
      <t>Herbstdüngegrenze mit leichtlöslichen stickstoffhältigen Düngemitteln</t>
    </r>
    <r>
      <rPr>
        <sz val="11"/>
        <color theme="1"/>
        <rFont val="Arial"/>
        <family val="2"/>
      </rPr>
      <t xml:space="preserve"> von
</t>
    </r>
    <r>
      <rPr>
        <b/>
        <u/>
        <sz val="11"/>
        <color theme="1"/>
        <rFont val="Arial"/>
        <family val="2"/>
      </rPr>
      <t>60 kg N ab Lager</t>
    </r>
    <r>
      <rPr>
        <sz val="11"/>
        <color theme="1"/>
        <rFont val="Arial"/>
        <family val="2"/>
      </rPr>
      <t xml:space="preserve"> </t>
    </r>
    <r>
      <rPr>
        <b/>
        <sz val="11"/>
        <color theme="1"/>
        <rFont val="Arial"/>
        <family val="2"/>
      </rPr>
      <t xml:space="preserve">ab der Ernte der letzten Hauptkultur </t>
    </r>
    <r>
      <rPr>
        <sz val="11"/>
        <color theme="1"/>
        <rFont val="Arial"/>
        <family val="2"/>
      </rPr>
      <t>beachten</t>
    </r>
  </si>
  <si>
    <t>Schwarzsamen / Ramtillkraut / Gingellikraut / Mungo</t>
  </si>
  <si>
    <t>Schwarzsamen / Ramtillkraut / Gingellikraut / Mungo*</t>
  </si>
  <si>
    <t>Saatgutanbieter wählen ▼</t>
  </si>
  <si>
    <t>Auswahl beigemengter Einzelkomponenten (Drop Down Auswahl oder eigene Kultur):</t>
  </si>
  <si>
    <r>
      <rPr>
        <b/>
        <sz val="11"/>
        <color theme="1"/>
        <rFont val="Arial"/>
        <family val="2"/>
      </rPr>
      <t>Düngeobergrenze</t>
    </r>
    <r>
      <rPr>
        <sz val="11"/>
        <color theme="1"/>
        <rFont val="Arial"/>
        <family val="2"/>
      </rPr>
      <t xml:space="preserve"> in </t>
    </r>
    <r>
      <rPr>
        <b/>
        <sz val="11"/>
        <color theme="1"/>
        <rFont val="Arial"/>
        <family val="2"/>
      </rPr>
      <t xml:space="preserve">Nitratrisikogebieten </t>
    </r>
    <r>
      <rPr>
        <sz val="11"/>
        <color theme="1"/>
        <rFont val="Arial"/>
        <family val="2"/>
      </rPr>
      <t>gem. NAPV Anlage 5:</t>
    </r>
  </si>
  <si>
    <r>
      <t xml:space="preserve">Durch einen Klick auf diesen Link </t>
    </r>
    <r>
      <rPr>
        <u/>
        <sz val="20"/>
        <color theme="1"/>
        <rFont val="Arial"/>
        <family val="2"/>
      </rPr>
      <t>►</t>
    </r>
    <r>
      <rPr>
        <u/>
        <sz val="12"/>
        <color theme="1"/>
        <rFont val="Arial"/>
        <family val="2"/>
      </rPr>
      <t xml:space="preserve"> gelangen Sie zum Tabellenblatt "Mischungen verfeinern"</t>
    </r>
  </si>
  <si>
    <t>Bedienungsanleitung Begrünungsrechner 2026</t>
  </si>
  <si>
    <t>Buchweizen "SLK"</t>
  </si>
  <si>
    <t>Hanf</t>
  </si>
  <si>
    <t>Phacelia</t>
  </si>
  <si>
    <t>Jahr 2026</t>
  </si>
  <si>
    <t>Senf nematodenhemmend</t>
  </si>
  <si>
    <r>
      <t xml:space="preserve">Buchweizen </t>
    </r>
    <r>
      <rPr>
        <b/>
        <sz val="12"/>
        <rFont val="Arial"/>
        <family val="2"/>
      </rPr>
      <t>BIO</t>
    </r>
    <r>
      <rPr>
        <sz val="12"/>
        <rFont val="Arial"/>
        <family val="2"/>
      </rPr>
      <t xml:space="preserve"> "SLK"</t>
    </r>
  </si>
  <si>
    <t>Hanf BIO</t>
  </si>
  <si>
    <r>
      <t xml:space="preserve">Hanf </t>
    </r>
    <r>
      <rPr>
        <b/>
        <sz val="12"/>
        <rFont val="Arial"/>
        <family val="2"/>
      </rPr>
      <t>BIO</t>
    </r>
  </si>
  <si>
    <t>Öllein BIO</t>
  </si>
  <si>
    <r>
      <t xml:space="preserve">Öllein </t>
    </r>
    <r>
      <rPr>
        <b/>
        <sz val="12"/>
        <rFont val="Arial"/>
        <family val="2"/>
      </rPr>
      <t>BIO</t>
    </r>
  </si>
  <si>
    <r>
      <t xml:space="preserve">Phacelia </t>
    </r>
    <r>
      <rPr>
        <b/>
        <sz val="12"/>
        <rFont val="Arial"/>
        <family val="2"/>
      </rPr>
      <t>BIO</t>
    </r>
  </si>
  <si>
    <t>Alexandrinerklee BIO</t>
  </si>
  <si>
    <t>Bastardraygras BIO</t>
  </si>
  <si>
    <t>Buchweizen BIO "SLK"</t>
  </si>
  <si>
    <t>Buchweizen Handelsware BIO</t>
  </si>
  <si>
    <t>Einjähriges Raygras BIO</t>
  </si>
  <si>
    <t>Englisches Raygras BIO</t>
  </si>
  <si>
    <t>Esparsette BIO</t>
  </si>
  <si>
    <t>Futtererbse BIO</t>
  </si>
  <si>
    <t>Hirse BIO</t>
  </si>
  <si>
    <t>Inkarnatklee BIO</t>
  </si>
  <si>
    <t>Italienisches Raygras BIO</t>
  </si>
  <si>
    <t>Kresse BIO</t>
  </si>
  <si>
    <t>Leindotter BIO</t>
  </si>
  <si>
    <t>Linse BIO</t>
  </si>
  <si>
    <t>Luzerne BIO</t>
  </si>
  <si>
    <t>Meliorationsrettich BIO</t>
  </si>
  <si>
    <t>Ölrettich BIO</t>
  </si>
  <si>
    <t>Persischer Klee BIO</t>
  </si>
  <si>
    <t>Phacelia BIO</t>
  </si>
  <si>
    <t>Pigmentplatterbse BIO</t>
  </si>
  <si>
    <t>Rotklee BIO</t>
  </si>
  <si>
    <t>Saatplatterbse BIO</t>
  </si>
  <si>
    <t>Saatwicke / Sommerwicke BIO</t>
  </si>
  <si>
    <t>Senf BIO</t>
  </si>
  <si>
    <t>Sudangras BIO</t>
  </si>
  <si>
    <t>Weißklee BIO</t>
  </si>
  <si>
    <t>Winterfuttererbse BIO</t>
  </si>
  <si>
    <t>Winterwicke Pannonisch BIO</t>
  </si>
  <si>
    <t>Eigene Kultur 4</t>
  </si>
  <si>
    <t>BETA-FLORIN LIGHT</t>
  </si>
  <si>
    <t>Englisches Raygras</t>
  </si>
  <si>
    <t>Sommerwicke</t>
  </si>
  <si>
    <t>Tatarischer Buchweizen</t>
  </si>
  <si>
    <t>Rotschwingel</t>
  </si>
  <si>
    <t>Wiesenrispe</t>
  </si>
  <si>
    <t>Winterroggen</t>
  </si>
  <si>
    <t>TL VitaMaxx AT</t>
  </si>
  <si>
    <t>TL MaisPro AT</t>
  </si>
  <si>
    <t>TL Beta Maxx TR (ohne Lupine)</t>
  </si>
  <si>
    <t>TL SolaRigol AT (ohne Lupine)</t>
  </si>
  <si>
    <r>
      <t xml:space="preserve">TL MaisPro AT mit </t>
    </r>
    <r>
      <rPr>
        <b/>
        <sz val="12"/>
        <rFont val="Arial"/>
        <family val="2"/>
      </rPr>
      <t>Bioanteil**</t>
    </r>
  </si>
  <si>
    <r>
      <t xml:space="preserve">TL Rigol AT mit </t>
    </r>
    <r>
      <rPr>
        <b/>
        <sz val="12"/>
        <rFont val="Arial"/>
        <family val="2"/>
      </rPr>
      <t>Bionateil**</t>
    </r>
  </si>
  <si>
    <r>
      <t xml:space="preserve">TL BioMax 100% </t>
    </r>
    <r>
      <rPr>
        <b/>
        <sz val="12"/>
        <rFont val="Arial"/>
        <family val="2"/>
      </rPr>
      <t>Bio</t>
    </r>
  </si>
  <si>
    <r>
      <t xml:space="preserve">TL AquaPro 100% </t>
    </r>
    <r>
      <rPr>
        <b/>
        <sz val="12"/>
        <rFont val="Arial"/>
        <family val="2"/>
      </rPr>
      <t>Bio</t>
    </r>
  </si>
  <si>
    <r>
      <t xml:space="preserve">TL BetaMaxx 100% </t>
    </r>
    <r>
      <rPr>
        <b/>
        <sz val="12"/>
        <rFont val="Arial"/>
        <family val="2"/>
      </rPr>
      <t>Bio</t>
    </r>
  </si>
  <si>
    <r>
      <t xml:space="preserve">TL Solanum 100% </t>
    </r>
    <r>
      <rPr>
        <b/>
        <sz val="12"/>
        <rFont val="Arial"/>
        <family val="2"/>
      </rPr>
      <t>Bio</t>
    </r>
  </si>
  <si>
    <r>
      <t xml:space="preserve">TL GreenPower 100% </t>
    </r>
    <r>
      <rPr>
        <b/>
        <sz val="12"/>
        <rFont val="Arial"/>
        <family val="2"/>
      </rPr>
      <t>Bio</t>
    </r>
  </si>
  <si>
    <r>
      <t xml:space="preserve">TL MaisPro 100% </t>
    </r>
    <r>
      <rPr>
        <b/>
        <sz val="12"/>
        <rFont val="Arial"/>
        <family val="2"/>
      </rPr>
      <t>Bio</t>
    </r>
    <r>
      <rPr>
        <sz val="12"/>
        <rFont val="Arial"/>
        <family val="2"/>
      </rPr>
      <t xml:space="preserve"> [MaizePro organic]</t>
    </r>
  </si>
  <si>
    <t>HR 137 Gründecke mit Meliorationsrettich H2O+ (Wasserschutz)</t>
  </si>
  <si>
    <t>HR 140 Gründecke Classic IBM/Bienen</t>
  </si>
  <si>
    <t>HR 141 Gründecke Nematoden IBM/Bienen</t>
  </si>
  <si>
    <t>HR 142 Gründecke Universal IBM/Bienen</t>
  </si>
  <si>
    <t>HR 143 Gründecke Spezial IBM/Bienen</t>
  </si>
  <si>
    <t>HR 146 Gründecke Plus IBM/Bienen</t>
  </si>
  <si>
    <t>HR 147 Winterfutterrapsuntersaat</t>
  </si>
  <si>
    <t>HR 168 Biodiversitäts-Blühmischung</t>
  </si>
  <si>
    <t>Weissklee</t>
  </si>
  <si>
    <t>WASSERGÜTE FEIN</t>
  </si>
  <si>
    <t>WASSERGÜTE FRÜH</t>
  </si>
  <si>
    <t>WASSERGÜTE RAU</t>
  </si>
  <si>
    <t>WinterfutterrapsFIT</t>
  </si>
  <si>
    <t>FUTTERPROFI EI</t>
  </si>
  <si>
    <t>LANDSBERGER GEMENGE</t>
  </si>
  <si>
    <t>TL MaisPro AT mit Bioanteil**</t>
  </si>
  <si>
    <t>TL Rigol AT mit Bionateil**</t>
  </si>
  <si>
    <t>TL BioMax 100% Bio</t>
  </si>
  <si>
    <t>TL AquaPro 100% Bio</t>
  </si>
  <si>
    <t>TL BetaMaxx 100% Bio</t>
  </si>
  <si>
    <t>TL Solanum 100% Bio</t>
  </si>
  <si>
    <t>TL GreenPower 100% Bio</t>
  </si>
  <si>
    <t>TL MaisPro 100% Bio [MaizePro organic]</t>
  </si>
  <si>
    <t>AckerGrün WeingartenPluss BIO</t>
  </si>
  <si>
    <t>AckerGrün Wickroggen Gemenge BIO</t>
  </si>
  <si>
    <t>BWSB - WinterStrong</t>
  </si>
  <si>
    <t>BWSB - Boden-Freund</t>
  </si>
  <si>
    <t>BWSB - Umwelt+</t>
  </si>
  <si>
    <t>Borretsch</t>
  </si>
  <si>
    <t>Raublattgewächse</t>
  </si>
  <si>
    <t>Komponenten differenzieren</t>
  </si>
  <si>
    <t>Erbse</t>
  </si>
  <si>
    <t>Kohl</t>
  </si>
  <si>
    <t>Rübe</t>
  </si>
  <si>
    <t>Wicke</t>
  </si>
  <si>
    <t>Roggen</t>
  </si>
  <si>
    <t>Raps</t>
  </si>
  <si>
    <t>Rübsen</t>
  </si>
  <si>
    <t>Mais</t>
  </si>
  <si>
    <t>Komponente</t>
  </si>
  <si>
    <t>Eindeutige Komponentenliste</t>
  </si>
  <si>
    <t>Wieviele Famielien kommen vor?</t>
  </si>
  <si>
    <t>Komponenten Gruppierung</t>
  </si>
  <si>
    <t>Platterbse</t>
  </si>
  <si>
    <t>Steinklee</t>
  </si>
  <si>
    <t>Eindeutige Liste Komponenten</t>
  </si>
  <si>
    <t>Eindeutige Liste Pflanzenfamialie</t>
  </si>
  <si>
    <t>Liste der gewählten Komponenten</t>
  </si>
  <si>
    <t>Englsiches Raygras</t>
  </si>
  <si>
    <t>Malve*</t>
  </si>
  <si>
    <t>Insektenblütige Komponenten (Gruppierungen)</t>
  </si>
  <si>
    <t>Eindeutige Liste insektenblütige Komponenten</t>
  </si>
  <si>
    <t>Eindeutige Liste Pflanzenfamilie</t>
  </si>
  <si>
    <t>Mischungsanteil in %
(=relative Saatstärke)</t>
  </si>
  <si>
    <t>Eindeutige Familienlsite</t>
  </si>
  <si>
    <t>Kosten je kg</t>
  </si>
  <si>
    <r>
      <rPr>
        <b/>
        <sz val="14"/>
        <rFont val="Arial"/>
        <family val="2"/>
      </rPr>
      <t>€/kg</t>
    </r>
    <r>
      <rPr>
        <sz val="14"/>
        <rFont val="Arial"/>
        <family val="2"/>
      </rPr>
      <t xml:space="preserve"> 
(oder Pkg.) </t>
    </r>
  </si>
  <si>
    <t>- blattreich, gute Deckung und Äsung für Wild, anspruchslos
- zur Biofumigation geeignet</t>
  </si>
  <si>
    <t>4,41 - 4,97</t>
  </si>
  <si>
    <t>110,25 - 149,16</t>
  </si>
  <si>
    <t xml:space="preserve">Leguminose
- hohes Nachwuchsvermögen, frostempfindlich (meist abfrostend)
- bildet Pfahlwurzel (Hauptwurzelmasse bis 30 cm)
- im Gemenge mit Gräsern anbauen
- gute Bienenweide
- Futternutzung: eiweißreiches Grünfutter - zu Beginn der Blüte erzielt man größte Energiedichte und Verdaulichkeit </t>
  </si>
  <si>
    <t>5,29 - 5,65</t>
  </si>
  <si>
    <t>132,25 - 169,50</t>
  </si>
  <si>
    <t>3,04 - 3,32</t>
  </si>
  <si>
    <t>76,00 - 83,06</t>
  </si>
  <si>
    <t>- zwei- bis mehrjährig
- in milden und mittleren Lagen auch mehrjährig
- hoher Grünmasseertrag bei guter Nährstoffversorgung
- verlangt gute Nährstoffversorgung</t>
  </si>
  <si>
    <t>160 - 180</t>
  </si>
  <si>
    <t>280,0 - 315,0</t>
  </si>
  <si>
    <t xml:space="preserve">160 - 180 kg/ha, einjährige Leguminose für Gründüngung
- auf leichten Böden und in kühleren Lagen gut geeignet </t>
  </si>
  <si>
    <t>1,79 - 1,87</t>
  </si>
  <si>
    <t>107,4 - 112,2</t>
  </si>
  <si>
    <t>60 - 80 kg/ha; Knöterich Gewächs
- geringe Standortansprüche
- Bienenweide
- kommt rasch zur Samenbildung
- kein Sklerotiniaüberträger, nematodenneutral
- rasche Jugendentwicklung
- frostempfindlich
- im Gemenge anbauen
- SLK-Sorten: Bamby (RWA) und Billy (Saatbau Linz)</t>
  </si>
  <si>
    <t>2,76 - 2,86</t>
  </si>
  <si>
    <t>165,6 - 171,6</t>
  </si>
  <si>
    <t>1,46 - 2,41</t>
  </si>
  <si>
    <t>87,60 - 192,72</t>
  </si>
  <si>
    <t>2,20 - 2,31</t>
  </si>
  <si>
    <t>132,00 - 184,80</t>
  </si>
  <si>
    <t>Einjähriges Raygras (westerwold. Raygras)</t>
  </si>
  <si>
    <t>2,60 - 2,94</t>
  </si>
  <si>
    <t>104,0 - 117,6</t>
  </si>
  <si>
    <t>- ca. 6 - 8 Wochen nach der Aussaat schnittreif
- Nutzung vor Beginn des Ährenschiebens (einjährig)
- ideal im Gemenge mit Alexandrinerklee und/oder Persischem Klee
- nematodenneutral</t>
  </si>
  <si>
    <t>3,00 - 3,93</t>
  </si>
  <si>
    <t>75,25 - 117,90</t>
  </si>
  <si>
    <t>- Ausdauerndste Form der Raygräser (mehrjährig)
- kein Sklerotiniaüberträger
- intensive Durchwurzelung der oberen Bodenschicht;
- sortenabhängiger Preis - Unterscheidung früher und später Sorten, Ampferfreiheit des Saatgutes etc.</t>
  </si>
  <si>
    <t>123,5 - 148,2</t>
  </si>
  <si>
    <t>- tiefwurzelnde mehrjährige Leguminose
- eiweißreiche Trockenfutterpflanze
- Bodenverbesserer
- hervorragende Bienenweide</t>
  </si>
  <si>
    <t>130 - 180</t>
  </si>
  <si>
    <t>1,21 - 2,01</t>
  </si>
  <si>
    <t>157,30 - 362,34</t>
  </si>
  <si>
    <t>130 - 180 kg/ha, Leguminose
- Anbau im Gemenge mit Stützfrucht
- als wertvolles, eiweißreiches Grünfutter und als Silage geeignet
- meist abfrostend</t>
  </si>
  <si>
    <t>1,43 - 2,1</t>
  </si>
  <si>
    <t>185,9 - 378,0</t>
  </si>
  <si>
    <t>3</t>
  </si>
  <si>
    <t>3 - 5 kg/ha
- Gutes Futter, speziell für Wild sehr gut geeignet; hohe Winterfestigkeit, aber nicht mehrjährig
- Absackung in 1 kg und 25 kg Gebinde</t>
  </si>
  <si>
    <t>9,38 - 10,78</t>
  </si>
  <si>
    <t>281,40 - 323,41</t>
  </si>
  <si>
    <r>
      <t xml:space="preserve">- anspruchslose, trockenresistente Leguminose für magere Böden, </t>
    </r>
    <r>
      <rPr>
        <u/>
        <sz val="12"/>
        <rFont val="Arial"/>
        <family val="2"/>
      </rPr>
      <t>Wuchsform:</t>
    </r>
    <r>
      <rPr>
        <sz val="12"/>
        <rFont val="Arial"/>
        <family val="2"/>
      </rPr>
      <t xml:space="preserve"> niederliegend
- nur im Gemenge sinnvoll</t>
    </r>
  </si>
  <si>
    <t xml:space="preserve">- anspruchslose, spätsaatverträgliche und raschwüchsige Gründüngungspflanze
- wächst auf den leichtesten  Standorten unter Ausnutzung der Winterfeuchtigkeit
- sehr gutes  Durchwurzelungsvermögen
- geeignet für Futternutzung, gute Frühjahrsschnitte (vor Maisanbau möglich) </t>
  </si>
  <si>
    <t>- Sorte "Felina": THC frei, gute Stroh- und Fasererträge
- Aussaatstärke: Fasernutzung 70 - 80 kg/ha, Körnernutzung 20 - 30kg/ha</t>
  </si>
  <si>
    <t>- 30 - 40 kg/ha
- Sorte "Uso": THC frei, Eignung auch für Speisezwecke</t>
  </si>
  <si>
    <t xml:space="preserve"> 2</t>
  </si>
  <si>
    <t>- 1 - 2 kg/ha; 1 PKG = 0,5 kg
- länglicher, flacher, weißer Rübenkörper mit violettem Kopf</t>
  </si>
  <si>
    <t>4,62 - 4,99</t>
  </si>
  <si>
    <t>69,30 - 74,85</t>
  </si>
  <si>
    <t xml:space="preserve">- Sorte "Rebecca": 15 kg/ha, gelbes Korn, sehr gute Trockenheitstoleranz 
- Sorte "Rote Lisa": 15 kg/ha; rotbraunes Korn </t>
  </si>
  <si>
    <t xml:space="preserve">- Sorte "Kornberger": 15 kg/ha; Gelbes, großfallendes Korn, mittelfrühe Reife , TKM 8 - 15 g
- Sorte "Rebecca": 15 kg/ha, gelbes Korn, sehr gute Trockenheitstoleranz </t>
  </si>
  <si>
    <t>12,63 - 16,62</t>
  </si>
  <si>
    <t>252,67 - 332,4</t>
  </si>
  <si>
    <t>- ausdauernde Leguminose mit niedrigem Wuchs
- auch für trockene Lagen und schlechte Böden geeignet
- nur im Gemenge sinnvoll</t>
  </si>
  <si>
    <t>3,32 - 3,39</t>
  </si>
  <si>
    <t>99,6 - 101,7</t>
  </si>
  <si>
    <t>Leguminose
- überjährig (meist überwinternd) 
- spätsaatverträglich, raschwüchsig, guter Mischungspartner in überwinternden Begrünungen
- gute Unkrautunterdrückung, gute Vorfruchtwirkung, 
- mit sich selbst nicht gut verträglich (Anbaupausen!)</t>
  </si>
  <si>
    <t>- Kein Sklerotiniaüberträger
- eignet sich für Frischverfütterung sowie Heu- und Silagebereitung
- guter N-Verwerter</t>
  </si>
  <si>
    <t>Kreuzblütler
- Fruchtfolge beachten
- im Gemenge anbauen
- Achtung: Wirtspflanze von Rübenzystennematoden</t>
  </si>
  <si>
    <t>30 kg/ha
- hoher Eiweißgehalt
- einjährige Leguminose mit Pfahlwurzel</t>
  </si>
  <si>
    <t>10 - 15 kg/ha
- anspruchslos, tiefwurzelnd</t>
  </si>
  <si>
    <t>6 - 10</t>
  </si>
  <si>
    <t>6,06 - 6,93</t>
  </si>
  <si>
    <t>36,36 - 69,30</t>
  </si>
  <si>
    <t>- langsame Jugendentwicklung, feines Wurzelwerk
- nicht selbstverträglich und nicht vor oder nach Kreuzblütlern anbauen
- SLK Sorte: CALENA</t>
  </si>
  <si>
    <t>8,47 - 8,70</t>
  </si>
  <si>
    <t>50,82 - 87,00</t>
  </si>
  <si>
    <t>80</t>
  </si>
  <si>
    <t>80 - 100 kg/ha
- Sorte "Klaus": großkörnige Tellerlinse mit grünlich, brauner Kornfarbe, hochwüchsiger Pflanzentyp</t>
  </si>
  <si>
    <t>8,81 - 9,89</t>
  </si>
  <si>
    <t>220,25 - 247,25</t>
  </si>
  <si>
    <r>
      <rPr>
        <u/>
        <sz val="12"/>
        <rFont val="Arial"/>
        <family val="2"/>
      </rPr>
      <t>"Königin der Futterpflanzen"</t>
    </r>
    <r>
      <rPr>
        <sz val="12"/>
        <rFont val="Arial"/>
        <family val="2"/>
      </rPr>
      <t xml:space="preserve">
- wertvolle Futterleguminose mit hohem Eiweißgehalt für wärmere, niederschlagsärmere Gebiete
- kalkhaltige, tiefgründige Böden werden bevorzugt - pH -Wert um 6,5 erforderlich
- verträgt keine stauende Nässe
- Saatgut ist vor der Saat zu inokulieren oder bereits vom Hersteller vorbehandeltes Saatgut zu verwenden.</t>
    </r>
  </si>
  <si>
    <t>9,49 - 10,25</t>
  </si>
  <si>
    <t>2,37,25 - 256,25</t>
  </si>
  <si>
    <t>6 - 8</t>
  </si>
  <si>
    <t>6,81 - 8,70</t>
  </si>
  <si>
    <t>52,20 - 54,48</t>
  </si>
  <si>
    <t>6 - 8 kg/ha
- rasche Entwicklung, wenig oberirdische Masse, verholzt nicht
- gute Tiefenlockerung durch kräftige Pfahlwurzel die Verdichtungen aufbrechen kann
- frostet ab und hinterlässt im Frühjahr nur kleine runde Löcher
- Absackung: 25 kg</t>
  </si>
  <si>
    <t>56,94 - 75,92</t>
  </si>
  <si>
    <t>74,8 - 112,2</t>
  </si>
  <si>
    <t>- 5 - 15 kg/ha bei Einsatz in Zwischenfruchtmischungen
- fruchtfolgeneutral
- anspruchslos, frostempfindlich
- gute Unkrautunterdrückung,
- feine und starke Durchwurzelung, jedoch stark holzige Biomasse</t>
  </si>
  <si>
    <t>85,8 - 128,7</t>
  </si>
  <si>
    <t>3,07 - 3,66</t>
  </si>
  <si>
    <t>61,40 - 91,50</t>
  </si>
  <si>
    <t>- anspruchslose, raschwüchsige, trockenheitstolernte Pflanze mit tiefreichender Durchwurzelung
- guter Mischungspartner, hohe Massenentwicklung
- in kreuzblütlerbetonten Fruchtfolgen ungeeignet!
- frühe Saat und dichte Bestände verringern die Gefahr der Rettichbildung
- Bei sehr spätem Anbau besteht Gefahr des Nichtabfrostens und Durchwuchses im Frühjahr</t>
  </si>
  <si>
    <t>3,92 - 4,54</t>
  </si>
  <si>
    <t>78,4 - 113,5</t>
  </si>
  <si>
    <t>3,47 - 4,45</t>
  </si>
  <si>
    <t>69,40 - 111,25</t>
  </si>
  <si>
    <t>Anbau bis Mitte August um optimale Nematodenbekämpfung zu gewährleisten</t>
  </si>
  <si>
    <t>139,80 - 174,75</t>
  </si>
  <si>
    <t>20 - 25 kg/ha; Leguminose
- hohes Nachwuchsvermögen
- im Gemenge mit Gräsern anbauen
- eiweißreiches Grünfutter
- gute Bienenweide
- Achtung: vermehrt eine Unterart des Rübenzystennematoden</t>
  </si>
  <si>
    <t>152 - 190</t>
  </si>
  <si>
    <t>10 - 12</t>
  </si>
  <si>
    <t>6,99 - 8,02</t>
  </si>
  <si>
    <t>73,10 - 96,25</t>
  </si>
  <si>
    <t>- Wasserblattgewächs, daher fruchtfolgeneutral
- Dunkelkeimer
- braucht feines Saatbett
- trockenheitstolerant
- Eignung für Mulchsaat, Bienenweide, bei später Aussaat höhere Saatstärke verwenden</t>
  </si>
  <si>
    <t>9,05 - 9,38</t>
  </si>
  <si>
    <t>90,50 - 112,56</t>
  </si>
  <si>
    <t>290,40 - 387,20</t>
  </si>
  <si>
    <t xml:space="preserve">Leguminose
- hohe N-Bindung, daher nur in Mischungen verwenden!
- trockenheitsverträglich
- so früh wie möglich anbauen (Juli)
- durch Neurotoxin insektizide Wirkung </t>
  </si>
  <si>
    <t>Ramtillkraut
(Schwarzsamen / Gingellikraut / Mungo)</t>
  </si>
  <si>
    <t>9 - 10</t>
  </si>
  <si>
    <t>4,03 - 4,18</t>
  </si>
  <si>
    <t>36,27 - 41,80</t>
  </si>
  <si>
    <t xml:space="preserve">- frostet sicher ab (sehr frostempfindlich)
- trockenheitsverträglich
- geeignet für Mulchsaat
- rasche Jugendentwicklung und geringe Verholzung
- Fruchtfolge: als Korbblütler mit der Sonnenblume verwandt, Vermehrungspotential für Sclerotinia!
- ideal für Leguminosen- oder Rapsfruchtfolge, ideal für Mulchsaat </t>
  </si>
  <si>
    <t>13,02 - 26,80</t>
  </si>
  <si>
    <t>130,20 - 268,00</t>
  </si>
  <si>
    <t>- meist abfrostende insektenblütige Kulturart mit guten Stickstoffspeicherung
- fruchtfolgeneutral
- sehr gute Durchwurzelung</t>
  </si>
  <si>
    <t>8,12 - 8,52</t>
  </si>
  <si>
    <t>203,0 - 213,0</t>
  </si>
  <si>
    <t>- überwinternde Futterleguminose für kühlere und feuchte Lagen
- sowohl qualitativ (eiweißreich) als auch quantitativ sehr gute Erträge
- Bodenverbesserer: intensive Symbiose mit Knöllchenbakterien und intensive Durchwurzelung
- als Vorfrucht für eine Vielzahl an Kulturpflanzen sehr gut geeignet</t>
  </si>
  <si>
    <t>8,76 - 9,45</t>
  </si>
  <si>
    <t>175,20 - 236,25</t>
  </si>
  <si>
    <t>110</t>
  </si>
  <si>
    <t xml:space="preserve">110 - 180 kg/ha Reinsaatmenge; Leguminose
- rasche Jugendentwicklung, kurzwüchsig
- bessere Durchwurzelung als Futtererbse
- für trockene Standorte bestens geeignet  </t>
  </si>
  <si>
    <t>- Korbblütler mit kräftiger Pfahlwurzel
- frostet sicher ab, optimal zur Aufwertung vieler Zwischenfruchtmischungen, 
- Saattiefe 2 - 3 cm
- hohe Bodenansprüche</t>
  </si>
  <si>
    <t>Sand-/Rauhafer</t>
  </si>
  <si>
    <t>80 - 120 kg/ha; bei starkem Unkrautdruck und sehr leichten Böden die höhere Aussaatstärke wählen
- für alle Bodenarten geeignet, auch für sandige und saure Böden
- für die Nutzung als Silage, zur Fütterung und zur Verwertung in Biogasanlagen geeignet
- Saatzeit April - September
- zur Bekämpfung von Pratylenchus penetrans (Wurzelläsionsälchen)
- keine Vermehrung von Trichodoriden (Überträger der Eisenfleckigkeit)</t>
  </si>
  <si>
    <t>- geringe Blühneigung und hohes Blattbildungsvermögen
- Bodenstrukturverbesserung durch kräftiges, tiefreichendes Wurzelwerk</t>
  </si>
  <si>
    <t>10,78 - 14,64</t>
  </si>
  <si>
    <t>215,6 - 292,8</t>
  </si>
  <si>
    <t>- für feuchtere Böden und in rauen schattigen Lagen als Ersatz für Rotklee geeignet
- winterhart, unempfindlich gegen Nässe, gedeiht auf allen Böden (anspruchslos)
- bildet Pfahlwurzel mit kräftigen Seitenwurzeln</t>
  </si>
  <si>
    <t>10 - 20</t>
  </si>
  <si>
    <t>2,63 - 3,42</t>
  </si>
  <si>
    <t>26,3 - 68,4</t>
  </si>
  <si>
    <t>- Kreuzblütler mit schneller Bodenbedeckung daher gute Unkrautunterdrückung
- gute N-Verwertung im Herbst
- für Mulchsaat geeignet
- später Anbau von Vorteil um nicht in Blüte zu gehen</t>
  </si>
  <si>
    <t>29,8 - 59,6</t>
  </si>
  <si>
    <t>3,42 - 3,69</t>
  </si>
  <si>
    <t>68,4 - 73,8</t>
  </si>
  <si>
    <t>- nematodenresistent bei rechtzeitigem Anbau - ideal bei Zuckerrübenfruchtfolge
- schnelle Jugendentwicklung</t>
  </si>
  <si>
    <t>2,40 - 5,39</t>
  </si>
  <si>
    <t>24,0 - 107,8</t>
  </si>
  <si>
    <t>- rasche Keimung, hohe Blattmasse für Schnittnutzung (Schnitt vor Blütenbildung), nährstoffreiches Futter
- Aussaatstärke bei Futternutzung 10 kg/ha - Aussaat bei Schnittnutzung nicht vor Mitte August
- Aussaatstärke bei Gründüngung 15 - 20 kg/ha</t>
  </si>
  <si>
    <t>2,24 - 2,47</t>
  </si>
  <si>
    <t>236,0 - 321,1</t>
  </si>
  <si>
    <t>- Leguminose mit rascher Jugendentwicklung und guter Unkrautunterdrückung
- Anbau im Gemenge, intensives und schnellwachsendes Wurzelwerk fördert die Garebildung
- gute Futterleistung, eiweißreiches Grünfutter</t>
  </si>
  <si>
    <r>
      <t xml:space="preserve">Sommerwicke </t>
    </r>
    <r>
      <rPr>
        <b/>
        <sz val="12"/>
        <rFont val="Arial"/>
        <family val="2"/>
      </rPr>
      <t>BIO</t>
    </r>
  </si>
  <si>
    <t>2,66 - 2,80</t>
  </si>
  <si>
    <t>266,0 - 364,0</t>
  </si>
  <si>
    <t>20 kg/ha
- mehrjährige, trockenresistente, robuste und calciumreiche Kräuterpflanze</t>
  </si>
  <si>
    <t>- zweijährige Leguminose (Blütenbildung erst im 2. Jahr)
- gute Durchwurzelung des Bodens (Feinwurzler) - durchwurzelt auch verdichtete Böden
- anspruchslose, kalkliebende Pflanze, welche sich als Bienenweide eignet
- keine Futternutzung wegen Cumaringehalt</t>
  </si>
  <si>
    <t>2,86 - 3,45</t>
  </si>
  <si>
    <t>57,20 - 103,62</t>
  </si>
  <si>
    <t>- hohes Nachwuchsvermögen
- Nutzung als Grünfutter/Silage ab ca. 60 cm Wuchshöhe und vor Beginn des Rispenschiebens
- Nutzung für Biogasproduktion möglich</t>
  </si>
  <si>
    <t>- überwinternde anspruchslose Gräserart, welche auch für ärmste Böden geeignet ist
- bestockt stärker als Roggen, gutes Wurzelwerk, gute Wildäsung</t>
  </si>
  <si>
    <t>8,89 - 10,88</t>
  </si>
  <si>
    <t>106,68 - 130,56</t>
  </si>
  <si>
    <t>- kurzwüchsige, überwinternde Leguminose
- geringe Boden- und Klimaansprüche aber lichtbedürftig
- ausläufertreibend - Lückenfüller
- Unterscheidung der Sorten in klein-mittel-großblättrig</t>
  </si>
  <si>
    <t>277,20 - 346,50</t>
  </si>
  <si>
    <t>- winterharte frühreife Leguminose
- hoher Proteinertrag
- geringes Tausendkorngewicht: 100 – 130 g
- gute Winterhärte</t>
  </si>
  <si>
    <t>10 - 15</t>
  </si>
  <si>
    <t>2,86 - 3,53</t>
  </si>
  <si>
    <t>28,60 - 52,95</t>
  </si>
  <si>
    <t>- geht im Aussaatjahr nicht in Blüte
- bringt nährstoffreiches Futter
- Saatstärke für Futternutzung: 10 kg/ha; Saatstärke für Gründüngung: 15 - 20 kg/ha</t>
  </si>
  <si>
    <t>3,48 - 4,02</t>
  </si>
  <si>
    <t>34,80 - 60,3</t>
  </si>
  <si>
    <t>- meist winterharter  und spätsaatverträglicher Kreuzblütler
- raschwüchsig
- gute Gülleverwertung</t>
  </si>
  <si>
    <t>80 - 100</t>
  </si>
  <si>
    <t>2,46 - 3,07</t>
  </si>
  <si>
    <t>196,8 - 307,0</t>
  </si>
  <si>
    <t>80 - 100 kg/ha, Leguminose mit guter Durchwurzelung des Bodens
- meist überwinternd
- Anbau im Gemenge
- Stickstoffsammler</t>
  </si>
  <si>
    <t>2,87 - 3,11</t>
  </si>
  <si>
    <t>229,6 - 311,0</t>
  </si>
  <si>
    <t>- mehrjährige, ausdauernde Kräuterart mit guter Trockenheitsresistenz
- enthält gesundheitsfördernde Stoffe</t>
  </si>
  <si>
    <t>- sicher abfrostend mit gutr Mulchauflage im Frühjahr
- intensives Wurzelwachstum
- klimafit - wetterfest</t>
  </si>
  <si>
    <r>
      <t xml:space="preserve">abgestimmt auf die Bedürfnisse der Zuckerrübe im Feuchtgebiet; 
</t>
    </r>
    <r>
      <rPr>
        <u/>
        <sz val="11"/>
        <color theme="1"/>
        <rFont val="Arial"/>
        <family val="2"/>
      </rPr>
      <t>Zusammensetzung:</t>
    </r>
    <r>
      <rPr>
        <sz val="11"/>
        <color theme="1"/>
        <rFont val="Arial"/>
        <family val="2"/>
      </rPr>
      <t xml:space="preserve"> Ölrettich, Saatwicke, Sandhafer, Ramtillkraut, Buchweizen, Kresse, Phacelia;
</t>
    </r>
    <r>
      <rPr>
        <u/>
        <sz val="11"/>
        <color theme="1"/>
        <rFont val="Arial"/>
        <family val="2"/>
      </rPr>
      <t>Anbauzeitpunkt:</t>
    </r>
    <r>
      <rPr>
        <sz val="11"/>
        <color theme="1"/>
        <rFont val="Arial"/>
        <family val="2"/>
      </rPr>
      <t xml:space="preserve"> Anfang August in ein gut vorbereitetes Saatbett; Packungseinheit: 25 kg = 1 ha</t>
    </r>
  </si>
  <si>
    <r>
      <rPr>
        <u/>
        <sz val="11"/>
        <color theme="1"/>
        <rFont val="Arial"/>
        <family val="2"/>
      </rPr>
      <t>Zusammensetzung:</t>
    </r>
    <r>
      <rPr>
        <sz val="11"/>
        <color theme="1"/>
        <rFont val="Arial"/>
        <family val="2"/>
      </rPr>
      <t xml:space="preserve"> Linse, Buchweizen, Gelbsenf, Ramtillkraut, Phacelia;</t>
    </r>
    <r>
      <rPr>
        <u/>
        <sz val="11"/>
        <color theme="1"/>
        <rFont val="Arial"/>
        <family val="2"/>
      </rPr>
      <t xml:space="preserve">
Anbauzeitpunkt:</t>
    </r>
    <r>
      <rPr>
        <sz val="11"/>
        <color theme="1"/>
        <rFont val="Arial"/>
        <family val="2"/>
      </rPr>
      <t xml:space="preserve"> Anfang August in ein gut vorbereitetes Saatbett; Packungseinheit: 10 kg = 1 ha</t>
    </r>
  </si>
  <si>
    <r>
      <t xml:space="preserve">abgestimmt auf die Bedürfnisse der Zuckerrübe im Trockengebiet;
</t>
    </r>
    <r>
      <rPr>
        <u/>
        <sz val="11"/>
        <color theme="1"/>
        <rFont val="Arial"/>
        <family val="2"/>
      </rPr>
      <t>Zusammensetzung:</t>
    </r>
    <r>
      <rPr>
        <sz val="11"/>
        <color theme="1"/>
        <rFont val="Arial"/>
        <family val="2"/>
      </rPr>
      <t xml:space="preserve"> Linse, Ölrettich, Buchweizen, Saatwicke, Kresse, Phacelia, Ramtillkraut;
</t>
    </r>
    <r>
      <rPr>
        <u/>
        <sz val="11"/>
        <color theme="1"/>
        <rFont val="Arial"/>
        <family val="2"/>
      </rPr>
      <t>Anbauzeitpunkt:</t>
    </r>
    <r>
      <rPr>
        <sz val="11"/>
        <color theme="1"/>
        <rFont val="Arial"/>
        <family val="2"/>
      </rPr>
      <t xml:space="preserve"> Anfang August in ein gut vorbereitetes Saatbett; Packungseinheit: 20 kg = 1 ha</t>
    </r>
  </si>
  <si>
    <r>
      <t xml:space="preserve">* Preise für Mischungen der Agrana sind </t>
    </r>
    <r>
      <rPr>
        <b/>
        <i/>
        <sz val="11"/>
        <rFont val="Arial"/>
        <family val="2"/>
      </rPr>
      <t>exkl. MwSt.</t>
    </r>
    <r>
      <rPr>
        <i/>
        <sz val="11"/>
        <rFont val="Arial"/>
        <family val="2"/>
      </rPr>
      <t xml:space="preserve"> angeführt</t>
    </r>
  </si>
  <si>
    <t>Sorghum, Sommerwicke, Ramtillkraut, Öllein, Alexandrinerklee, Abessinischer Kohl, Tiefenrettich, Ölrettich</t>
  </si>
  <si>
    <t>Winterroggen, Rauhafer, Inkarnatklee, Winterfutterraps, Stoppelrüben, Pann. Wicke, Abessinischer Kohl, Tiefenrettich, Öllein, Leindotter</t>
  </si>
  <si>
    <t>Rauhafer, Sorghum, Ramtillkraut, Öllein, Phacelia, Sonnenblume (0% Leguminosen, 0% Kreuzblütler)</t>
  </si>
  <si>
    <r>
      <t>Rauhafer, Buchweizen, Ramtillkraut, Öllein, Leindotter, Abessinischer Kohl, Phacelia,</t>
    </r>
    <r>
      <rPr>
        <b/>
        <sz val="11"/>
        <color theme="1"/>
        <rFont val="Arial"/>
        <family val="2"/>
      </rPr>
      <t xml:space="preserve"> </t>
    </r>
    <r>
      <rPr>
        <sz val="11"/>
        <color theme="1"/>
        <rFont val="Arial"/>
        <family val="2"/>
      </rPr>
      <t>Tiefenrettich, Sonnenblume, Ölrettich</t>
    </r>
  </si>
  <si>
    <t>Felderbse, Sorghum, Sommerwicke, Öllein, Sonnenblume, Ramtillkraut, Winterwicke, Alexandrinerklee, Abessinischer Kohl, Tiefenrettich, Serradella, Phacelia, Inkarnatklee, Perserklee, Schwedenklee, Rotklee, Weißklee</t>
  </si>
  <si>
    <t>Abess. Kohl, Alexandrinerklee, Futtererbse, Öllein, Perserklee, Phacelia, Ramtillkraut, Serradella, Sommerwicke, Sonnenblume, Sudangras, Tiefenrettich, Rotklee, Schwedenklee, Inkarnatklee, Pannonische Wicke, Rübsen, Winterroggen, Spitzwegerich</t>
  </si>
  <si>
    <t>Rauhafer, Futtererbse, Sommerwicke, Ramtillkraut, Tiefenrettich, Phacelia, Öllein, Serradella, Abessinischer Kohl, Alexandrinerklee</t>
  </si>
  <si>
    <t>Rauhafer, Alexandrinerklee, Sparriger Klee, Perserklee, Sommerwicke, Serradella, Futtererbse, Abessinischer Kohl, Ölrettich (nematodenresistent), Ramtillkraut, Öllein</t>
  </si>
  <si>
    <t>Blaue Lupine, Sommerwicke, Sparriger Klee, Rauhafer, Öllein, Felderbse, Ramtillkraut, Alexandrinerklee, Serradella</t>
  </si>
  <si>
    <t>Felderbse, Sommerwicke, Sonnenblume, Öllein, Sorghum, Phacelia, Ramtillkraut, Alexandrinerklee, Sparriger Klee, Serradella</t>
  </si>
  <si>
    <r>
      <rPr>
        <u/>
        <sz val="11"/>
        <color theme="1"/>
        <rFont val="Arial"/>
        <family val="2"/>
      </rPr>
      <t>Bio Komponenten:</t>
    </r>
    <r>
      <rPr>
        <sz val="11"/>
        <color theme="1"/>
        <rFont val="Arial"/>
        <family val="2"/>
      </rPr>
      <t xml:space="preserve"> Futtererbse, Sommerwicke, Inkarnatklee, Sparriger Klee, Pannonische Wicke, Serradella, Leindotter, Sonnenblume, Ölrettich, Öllein, Phacelia; </t>
    </r>
    <r>
      <rPr>
        <u/>
        <sz val="11"/>
        <color theme="1"/>
        <rFont val="Arial"/>
        <family val="2"/>
      </rPr>
      <t>Konv. Komponenten:</t>
    </r>
    <r>
      <rPr>
        <sz val="11"/>
        <color theme="1"/>
        <rFont val="Arial"/>
        <family val="2"/>
      </rPr>
      <t xml:space="preserve"> Sommerfutterraps, Ramtillkraut Sorghum, Schwedenklee, Tiefenrettich</t>
    </r>
  </si>
  <si>
    <r>
      <rPr>
        <u/>
        <sz val="11"/>
        <color theme="1"/>
        <rFont val="Arial"/>
        <family val="2"/>
      </rPr>
      <t>Bio Komponenten</t>
    </r>
    <r>
      <rPr>
        <sz val="11"/>
        <color theme="1"/>
        <rFont val="Arial"/>
        <family val="2"/>
      </rPr>
      <t xml:space="preserve">: Rauhafer, Ölrettich, Öllein, Phacelia, Leindotter, Sonnenblume, Futtererbse, Pannonische Wicke, Sommerwicke, Sparriger Klee; </t>
    </r>
    <r>
      <rPr>
        <u/>
        <sz val="11"/>
        <color theme="1"/>
        <rFont val="Arial"/>
        <family val="2"/>
      </rPr>
      <t>konv. Komponenten</t>
    </r>
    <r>
      <rPr>
        <sz val="11"/>
        <color theme="1"/>
        <rFont val="Arial"/>
        <family val="2"/>
      </rPr>
      <t>: Sommerfutterraps, Ramtillkraut, Sorghum, Tiefenrettich</t>
    </r>
  </si>
  <si>
    <t>Welsches Weidelgras, Inkarnatklee, Winterwicke, Rotklee, Bastardweidelgras, Schwedenklee</t>
  </si>
  <si>
    <t>Rauhafer, Sorghum, Phacelia, falscher Buchweizen, Sonnenblume, Weißer Senf, Ölrettich, Öllein, Leindotter</t>
  </si>
  <si>
    <t>Rauhafer, Sorghum, Öllein, Phacelia, Sonnenblume</t>
  </si>
  <si>
    <t>Futtererbse, Sommerwicke, Blaue Lupine, Rauhafer, Phacelia, Alexandrinerklee</t>
  </si>
  <si>
    <t>Futtererbse, Sommerwicke, Rauhafer, Blaue Lupine, Ölrettich, Serradella, Sparriger Klee, Öllein, Sonnenblume, Alexandrinerklee</t>
  </si>
  <si>
    <t>Sparriger Klee, Phacelia, Perserklee, Serradella, Alexandrinerklee, Öllein, Sorghum</t>
  </si>
  <si>
    <t>Felderbse, Winterroggen, Sonnenblume, Inkarnatklee, Phacelia, Pannonische Wicke, Sorghum, Sparriger Klee, Öllein, Leindotter</t>
  </si>
  <si>
    <r>
      <t xml:space="preserve">* Preise für Mischungen der Fa. DSV sind </t>
    </r>
    <r>
      <rPr>
        <b/>
        <i/>
        <sz val="11"/>
        <rFont val="Arial"/>
        <family val="2"/>
      </rPr>
      <t>exkl. MwSt.</t>
    </r>
    <r>
      <rPr>
        <i/>
        <sz val="11"/>
        <rFont val="Arial"/>
        <family val="2"/>
      </rPr>
      <t xml:space="preserve"> angeführt; ** Mischungen mit Bioanteil sind für Biobetriebe in Österreich zugelassen; Frachtkosten 65 € (netto) pauschal je Lieferung bis 800 kg</t>
    </r>
  </si>
  <si>
    <t>HR 137 Gründecke mit Meliorationsrettich H2O+    (Wasserschutz)</t>
  </si>
  <si>
    <r>
      <rPr>
        <b/>
        <u/>
        <sz val="12"/>
        <rFont val="Arial"/>
        <family val="2"/>
      </rPr>
      <t>Neu:</t>
    </r>
    <r>
      <rPr>
        <sz val="12"/>
        <rFont val="Arial"/>
        <family val="2"/>
      </rPr>
      <t xml:space="preserve"> HR 168 Biodiversitäts-Blühmischung</t>
    </r>
  </si>
  <si>
    <t>25 - 40</t>
  </si>
  <si>
    <t>130,75 - 209,20</t>
  </si>
  <si>
    <t>Kümmel, Ringelblume, Fenchel, Serradella, Malve, Leindotter, Rotklee, Weissklee, Alexandrinerklee, Luzerne, Inkarnatklee, Sommerraps, Buchweizen, Markstammkohl, blaue Lupine, Phacelia, Pannonische Wicke</t>
  </si>
  <si>
    <r>
      <t xml:space="preserve">* Preise für Mischungen der Fa. HESA sind </t>
    </r>
    <r>
      <rPr>
        <b/>
        <i/>
        <sz val="11"/>
        <rFont val="Arial"/>
        <family val="2"/>
      </rPr>
      <t>exkl. MwSt.</t>
    </r>
    <r>
      <rPr>
        <i/>
        <sz val="11"/>
        <rFont val="Arial"/>
        <family val="2"/>
      </rPr>
      <t xml:space="preserve"> angeführt</t>
    </r>
  </si>
  <si>
    <t>€/kg oder 
€/Pkg</t>
  </si>
  <si>
    <t>Zusammensetzung der Begrünungsmischungen  - Anmerkungen</t>
  </si>
  <si>
    <t>- Alexandrinerklee, Phazelie, Gingellikraut
- ohne Kreuzblütler; Aussaat  bis Mitte August; Absackung 12 kg</t>
  </si>
  <si>
    <t xml:space="preserve">- Buchweizen, Phazelie, Alexandrinerklee
- Aussaat bis Mitte August; Absackung 25 kg </t>
  </si>
  <si>
    <t>- Rau-Sandhafer, Meliorationsrettich, Ölrettich, Sareptasenf
- Aussaat bis Mitte August; Absackung 20 kg</t>
  </si>
  <si>
    <t xml:space="preserve">- Buchweizen, Phazelie, Alexandrinerklee, Gingellikraut, Kresse
- Aussaat bis Mitte August; Absackung 25 kg </t>
  </si>
  <si>
    <t>- Rau-Sandhafer, Phazelie, Gingellikraut, Saatwicke, Persischer Klee, Alexandrinerklee, Ölrettich, Kresse, Leindotter, Sonnenblume, Öllein
- Aussaat bis Mitte August; Absackung 25 kg und 500 kg Big Bag</t>
  </si>
  <si>
    <t xml:space="preserve">- Buchweizen, Ölrettich, Alexandrinerklee
- Aussaat bis Mitte/Ende August; Absackung 25 kg </t>
  </si>
  <si>
    <t>- Senf (nematodenresistente Sorte), Buchweizen, Alexandrinerklee
- Aussaat bis Mitte August; Absackung  20 kg und 500 kg Big Bag</t>
  </si>
  <si>
    <t xml:space="preserve">- Alexandrinerklee, Ölrettich, Phazelie, Senf, Sommerwicke, Kresse, Leindotter
- Aussaat bis Ende August; Absackung 20 kg </t>
  </si>
  <si>
    <t>- Süßlupine, Sandhafer, Phacelie, Ölrettich nemathodenhemmend, Öllein
- Aussaat Juli bis August; Absackung 23 kg</t>
  </si>
  <si>
    <t xml:space="preserve">30 - 50 kg/ha; Engl. Raygras, Wiesenrispe, Ausläufer-Rotschwingel, Horst-Rotschwingel, Schafschwingel
- auch für Lagen, in denen Spinnmilben auftreten - für Obstgartendauerbegrünung bestens geeignet
- Aussaat bis Ende September; Absackung 10 kg </t>
  </si>
  <si>
    <t>- Serradella, Weißklee, Inkarnatklee, Phazelie, Ölrettich, Buchweizen, Winterwicke - Bei Begrünung jeder 2. Reihe Überjährige
- Saatgutmischung ohne Gräseranteil; Aussaatmenge: 12 - 30 kg/ha; Absackung 10 kg</t>
  </si>
  <si>
    <t xml:space="preserve">- Serradella, Weißklee, Inkarnatklee, Phazelie, Ölrettich, Buchweizen, Winterwicke
- Bei Begrünung jeder 2. Reihe Aussaatmenge: 12 - 30 kg/ha; Aussaat Frühjahr oder bis Ende August; Absackung 10 kg </t>
  </si>
  <si>
    <t>100 - 120 kg/ha; Körnererbse, Sommerwicke, Ackerbohne, Rau-/Sandhafer, Futtererbse, Sojabohne
- Aussaat bis Ende August; Absackung 20 kg</t>
  </si>
  <si>
    <t>100 - 120 kg/ha; Saatplatterbse, Futtererbse, Körnererbse, Saatwicke, Ackerbohne, Rau-/Sandhafer;
- Aussaat Mitte/Ende August; Absackung 20 kg</t>
  </si>
  <si>
    <t>- Inkarnatklee, Rotklee, Luzerne, Esparsette, Phazelie, Leindotter, Weissklee
- Aussaat Mitte August; Absackung 10 kg</t>
  </si>
  <si>
    <t>- Luzerne, Rotklee, Weißklee, Hornklee, Inkarnatklee, Esparsette (überjährige Legumiosen), Malve, Leindotter und Senf
- Aussaat bis Mitte August; alle Komponetnen sind insektenblütig; Absackung 10 kg</t>
  </si>
  <si>
    <r>
      <rPr>
        <u/>
        <sz val="11"/>
        <rFont val="Arial"/>
        <family val="2"/>
      </rPr>
      <t>17 Arten aus 7 Pflanzenfamilien</t>
    </r>
    <r>
      <rPr>
        <sz val="11"/>
        <rFont val="Arial"/>
        <family val="2"/>
      </rPr>
      <t>; große Artenvielfalt und lockt zahlreiche Insekten an; als Bienentrachtbrache geeignet;
- Inkarnatklee, Buchweizen, Luzerne, Rotklee, Weissklee, Futterkohl, Kresse, Malve, Phazelie, Fenchel, Koriander, Kümmel, 
  Ringelblume, Sonnenblume, Hornklee, Leindotter, Senf; Aussaat bis Mitte August; Absackung 10 kg</t>
    </r>
  </si>
  <si>
    <r>
      <rPr>
        <u/>
        <sz val="11"/>
        <rFont val="Arial"/>
        <family val="2"/>
      </rPr>
      <t>17 verschiedene ein- und mehrjährige Blühkomponenten</t>
    </r>
    <r>
      <rPr>
        <sz val="11"/>
        <rFont val="Arial"/>
        <family val="2"/>
      </rPr>
      <t xml:space="preserve"> aus </t>
    </r>
    <r>
      <rPr>
        <u/>
        <sz val="11"/>
        <rFont val="Arial"/>
        <family val="2"/>
      </rPr>
      <t>7 Pflanzenfamilien;</t>
    </r>
    <r>
      <rPr>
        <sz val="11"/>
        <rFont val="Arial"/>
        <family val="2"/>
      </rPr>
      <t xml:space="preserve"> bietet wertvollen Lebensraum für Insekten und Niederwild;
- Buchweizen, Winterwicke, Süßlupine, Sommerfutterraps, Rotklee, Schwedenklee, Inkarnatklee, Luzerne, Alexandrinerklee, Phazelie, 
  Serradella, Futterkohl, Malve, Fenchel, Kümmel, Leindotter, Ringelblume; Aussaat bis Mitte August; Absackung 10 kg</t>
    </r>
  </si>
  <si>
    <t>- Weißklee, Inkarnatklee, Alexandrinerklee, Perserklee
- Absackung 10 kg; Untersaat 10 kg/ha, Reinsaat 20 kg/ha</t>
  </si>
  <si>
    <t>- Engl. Raygras, Ital. Raygras, Weissklee
- 10 kg/ha Untersaat, 20kg/ha Reinsaat, Untersaat im Getreide u. Mais</t>
  </si>
  <si>
    <t xml:space="preserve">110 kg/ha - Winterwicke Pannonisch, Winterroggen
- Absackung 20 kg </t>
  </si>
  <si>
    <t>110kg/ha - Winterwicke Pannonisch, Winterroggen
- Absackung 20 kg und 500 kg Big Bag</t>
  </si>
  <si>
    <r>
      <t xml:space="preserve">- Einjähriges (Westerw.) Raygras, Bastardraygras, Alexandrinerklee, Persischer Klee
- ÖAG-kontrollierte DIE SAAT Qualitätssaatgutmischung dh. </t>
    </r>
    <r>
      <rPr>
        <b/>
        <sz val="11"/>
        <rFont val="Arial"/>
        <family val="2"/>
      </rPr>
      <t>kontrolliert ampferfrei in 100 g;</t>
    </r>
    <r>
      <rPr>
        <sz val="11"/>
        <rFont val="Arial"/>
        <family val="2"/>
      </rPr>
      <t xml:space="preserve">  Absackung 10 kg </t>
    </r>
  </si>
  <si>
    <t>60 - 80 kg/ha
- Italienisches Raygras, Bastardraygras, Winterwicke Pannonisch, Inkarnatklee
- hohe Futterleistung, überjährig - meist überwinternd
- Aussaat bis Ende August; Absackung 20 kg (konv. auch in 500 kg BIG BAG)</t>
  </si>
  <si>
    <t>Weitere Mischungen:</t>
  </si>
  <si>
    <t>7</t>
  </si>
  <si>
    <t xml:space="preserve">7 - 10 kg/ha; Bestehend aus nacheinander blühenden Pflanzen
- diese Mischung bietet bis zum ersten Frost ein Blütenangebot für Bienen und Hummeln; Aussaat nicht vor Mitte Mai; Absackung 1 kg/10 kg </t>
  </si>
  <si>
    <t xml:space="preserve">7 - 10 kg/ha; Bestehend aus 50 ein- und mehrjährigen Wild- bzw. Kulturarten
- bietet ausdauerndes Blütenangebot für Bienen, Hummeln, Schmetterlinge und Nützlinge; Aussaat nicht vor Mitte Mai; Absackung 1 kg/10 kg </t>
  </si>
  <si>
    <t xml:space="preserve">- artenreiche Weingarten Dauerbegrünung (Erosionsschutz Wein)
- Aussaat April - September gründlich durchmischen; Absackung 10 kg </t>
  </si>
  <si>
    <t xml:space="preserve">- artenreiche Weingarten Dauerbegrünung; Eignung in trockenen Lagen
- Aussaat April - September gründlich durchmischen; Absackung 10 kg </t>
  </si>
  <si>
    <r>
      <t xml:space="preserve">20 - 25 kg/ha; für Nützlingsflächen und Blumenanlagen (UBB- ÖPUL 23), </t>
    </r>
    <r>
      <rPr>
        <b/>
        <sz val="11"/>
        <rFont val="Arial"/>
        <family val="2"/>
      </rPr>
      <t>exkl. Versandkosten</t>
    </r>
  </si>
  <si>
    <t xml:space="preserve">Rhizobien Luzerne Klee </t>
  </si>
  <si>
    <t>Zur Inokulierung von 25 - 35 kg Saatgut</t>
  </si>
  <si>
    <t xml:space="preserve">Kulturarten, Sorten, Saatgutmischungen und Preise sind Orientierungshilfen - ohne Gewähr auf dauernde Verfügbarkeit - erhältlich im Lagerhaus </t>
  </si>
  <si>
    <r>
      <t xml:space="preserve">EUR/kg oder Packung sind unverbindlich empfohlene Verkaufspreise </t>
    </r>
    <r>
      <rPr>
        <b/>
        <i/>
        <sz val="11"/>
        <rFont val="Arial"/>
        <family val="2"/>
      </rPr>
      <t>inkl. MwSt.</t>
    </r>
    <r>
      <rPr>
        <i/>
        <sz val="11"/>
        <rFont val="Arial"/>
        <family val="2"/>
      </rPr>
      <t xml:space="preserve">, </t>
    </r>
    <r>
      <rPr>
        <b/>
        <i/>
        <sz val="11"/>
        <rFont val="Arial"/>
        <family val="2"/>
      </rPr>
      <t>inkl. Fracht</t>
    </r>
    <r>
      <rPr>
        <i/>
        <sz val="11"/>
        <rFont val="Arial"/>
        <family val="2"/>
      </rPr>
      <t xml:space="preserve"> der Firma RWA Korneuburg AG  - Änderungen und  Irrtum vorbehalten.  </t>
    </r>
  </si>
  <si>
    <t>Saatbau Linz - Mischungen</t>
  </si>
  <si>
    <t>- abfrostende Begrünungsmischung mit mehrschichtigem Wurzelhorizont und stark humusaufbauender Wirkung
- Sommerwicke, Öllein, Sudangras, Alexandrinerklee, MUNGO, Meliorationsrettich, Saflor (bodenverbessernd); (59,89 €/Packung á 15 kg)</t>
  </si>
  <si>
    <t>- leguminosenfreie Mischung speziell für stark leguminosenbetonte Fruchtfolgen
- Phazelia, MUNGO, Meliorationsrettich, Öllein, Sudangras, Saflor, Duringras (leguminosenfrei); (90,42 €/Packung á 20 kg)</t>
  </si>
  <si>
    <t>- Gründüngung und Futternutzung
- Sommerwicke, Futtererbse, Sojabohne, Lupine Grünmais; Sudangras; Sonnenblume (Futterzwischenfrucht); (56,32 €/Packung á 25 kg)</t>
  </si>
  <si>
    <t>- abfrostende Begrünungsmischung mit höchster N-Fixierung und bester Bodenlockerung
- Pigmentplatterbse, Sommerwicke, Alexandrinerklee, Futtererbse, Saflor, MUNGO, Sudangras, Meliorationsrettich; (53,9 €/Packung á 20 kg)</t>
  </si>
  <si>
    <t>52,8 - 105,6</t>
  </si>
  <si>
    <t>- Buchweizen, nematodenfeindlicher Senf, Ölrettich (Spätsaat) 
- 52,8 €/Packung á 20 kg</t>
  </si>
  <si>
    <t>- Alexandrinerklee, Krumenklee, Phacelia, Ölrettich  (Wasserschutz) 
- 78,87 €/Packung á 15 kg</t>
  </si>
  <si>
    <t>- Mungo, Phacelia, Alexandrinerklee und Krumenklee (Wasserschutz) 
- 62,04 €/Packung á 12 kg</t>
  </si>
  <si>
    <t>73,7 - 110,6</t>
  </si>
  <si>
    <t>- Phacelia, Buchweizen, Ölrettich, Senf, auch auf rauhere Saatbeete (leguminosenfrei) 
- 73,7 €/Packung á 20 kg</t>
  </si>
  <si>
    <t>- Rapsbegleitsaatenmischung (Raps-Begleitsaat) 
- 45,2 €/Packung á 10 kg</t>
  </si>
  <si>
    <t>- Duringras, Weißklee (niedrigwachsend) Spitzwegerich und Wegwarte - frei von Raygräsern!!! (Untersaatmischung) 
- 77,55 €/Packung á 10 kg</t>
  </si>
  <si>
    <t>- wasserefiziente abfrostende Begrünungsmischung (wassereffizient, &amp; sparend)
- Hybridsudangras, Phazelia, Mungo, Perserklee, Öllein und Leindotter (wassereffizient, &amp; sparend); (73,7 €/Packung á 20 kg)</t>
  </si>
  <si>
    <t>- Wildackermischung zur Sommeransaat (Wildacker) 
- 4,14 €/Packung á 25 kg</t>
  </si>
  <si>
    <t>132,2 - 176,3</t>
  </si>
  <si>
    <t>- überj. Kleegrasmischung  kontrolliert ampferfrei in 100 g (Futterzwischenfrucht)
- 4,41 €/Packung á 10 kg</t>
  </si>
  <si>
    <t>253,1 - 289,3</t>
  </si>
  <si>
    <t>- überjährige Futterzwischenfrucht - hohe Futtergemenge, spätsaatverträg und sehr gute Vorfruchtwirkung;  ideale Gründüngung
- 3,62 €/Packung á 20 kg</t>
  </si>
  <si>
    <t>234,9 - 268,5</t>
  </si>
  <si>
    <t>- schließt die nahrungslücke, abwechslungsreiche Äsung für alle Wildarten; UBB-tauglich; sorgt für Deckung (Wildacker) 
- 6,71 €/Packung á 10 kg</t>
  </si>
  <si>
    <t>- artenreiche Wildäsungsmischung für Herbst und Winteräsung (Wildacker) 
- 5,17 €/Packung á 10 kg</t>
  </si>
  <si>
    <t>179,7 - 209,6</t>
  </si>
  <si>
    <t>- gräserfreie Mischung für Biodiversitätsflächen (mehrjährig) 
- 59,89 €/Packung á 10 kg</t>
  </si>
  <si>
    <t>RAPSOMISCHUNG</t>
  </si>
  <si>
    <t>- vielfältige Blühmischung; breites Pollenangebot für Insekten; optische Aufwertung der Kulturlandschaft (überjährig, winterhart) 
- 26,33 €/Packung á 5 kg</t>
  </si>
  <si>
    <t>168,1 - 210,2</t>
  </si>
  <si>
    <t>- einjährige, reichblühende Pflanzengesellschaft zur Lebensraumgestalltung für Bienen und Insekten (Bienenweide) 
- 84,07 €/Packung á 10 kg</t>
  </si>
  <si>
    <t>- für DIV-Flächen Acker (ÖPUL Zuschlag); hohe Biodiversität durch mind. 30 verschiedene Kulturen (mehrjährig) 
- 326,57 €/Packung á 5 kg</t>
  </si>
  <si>
    <r>
      <t xml:space="preserve">Preise für Mischungen der Saatbau Linz sind </t>
    </r>
    <r>
      <rPr>
        <b/>
        <i/>
        <sz val="11"/>
        <rFont val="Arial"/>
        <family val="2"/>
      </rPr>
      <t>inkl. MwSt.</t>
    </r>
    <r>
      <rPr>
        <i/>
        <sz val="11"/>
        <rFont val="Arial"/>
        <family val="2"/>
      </rPr>
      <t xml:space="preserve"> angeführt</t>
    </r>
  </si>
  <si>
    <t>Saatbau Linz - Zwischenfruchtmischungen für den BIO-Landbau</t>
  </si>
  <si>
    <t>BIODIVERSITÄTSMISCHUNG ÖPUL 2023</t>
  </si>
  <si>
    <t>- mehrjährige gräserfreie Blühmischung für Biodiversitätsflächen
- 76,61 €/Packung á 10 kg</t>
  </si>
  <si>
    <t>- abfrostende Begrünungsmischung mit mehrschichtigem Wurzelhorizont und stark humusaufbauender Wirkung
- Sommerwicke, Öllein, Sudangras, Alexandrinerklee, MUNGO, Meliorationsrettich, Saflor (bodenverbessernd); (68,37 €/Packung á 15 kg)</t>
  </si>
  <si>
    <t>- leguminosenfreie Mischung speziell für stark leguminosenbetonte Fruchtfolgen
- Phazelia, MUNGO, Meliorationsrettich, Öllein, Sudangras, Saflor, Duringras (leguminosenfrei); (105,05 €/Packung á 20 kg)</t>
  </si>
  <si>
    <t>166,2 - 221,6</t>
  </si>
  <si>
    <t>- überj. Kleegrasmischung  kontrolliert ampferfrei in 100 g (Futterzwischenfrucht) 
- 5,54 €/Packung á 10 kg</t>
  </si>
  <si>
    <t>- abfrostende Begrünungsmischung mit höchster N-Fixierung und bester Bodenlockerung
- Pigmentplatterbse, Sommerwicke, Alexandrinerklee, Futtererbse, Saflor, MUNGO, Sudangras, Meliorationsrettich; 60,35 €/Packung á 20 kg</t>
  </si>
  <si>
    <t>- spätsaatverträgliche Mischung, um für das Frühjahr eine gute Mulchauflage zu generieren
- Buchweizen, Phazelia, Leindotter, Kresse, Ölrettich, Sareptasenf (Spätsaat); (82,39 €/Packung á 20 kg)</t>
  </si>
  <si>
    <t>- winterharte Begrünungsmischung für Reinsaat oder zum Mischen mit anderen Zwischenfrüchten
- Grünschnittroggen, Winterfuttererbse, Winterrübse, Pannonische Wicke (winterhart); (53,13 €/Packung á 30 kg)</t>
  </si>
  <si>
    <t>Luzerne-Impfstoff "EMMA"</t>
  </si>
  <si>
    <t>Zur Inokulierung von 25 kg Saatgut</t>
  </si>
  <si>
    <r>
      <rPr>
        <b/>
        <u/>
        <sz val="11"/>
        <rFont val="Arial"/>
        <family val="2"/>
      </rPr>
      <t>20 Arten aus 9 Pflanzenfamilien</t>
    </r>
    <r>
      <rPr>
        <sz val="11"/>
        <rFont val="Arial"/>
        <family val="2"/>
      </rPr>
      <t xml:space="preserve">: Färberkamille, Wundklee, Kornblume, Gewöhnliche Wiesen-Flockenblume, Gewöhnlich-Wegwarte, Wilde Möhre, Gewöhnlich-Natternkopf, Gewöhnliche Wiesenwitwenblume, Magerwiesen-Margerite, Wiesen-Hornklee, Moschus-Malve, Gelbklee, Gemeine Nachtkerze, Große-Bibernelle, Esparsette, Klatschmohn, Eigentlicher Wiesensalbei, Rote Lichtnelke, Gewöhnliches Blasen-Leimkraut,Wiesen-Rotklee
</t>
    </r>
    <r>
      <rPr>
        <b/>
        <u/>
        <sz val="11"/>
        <rFont val="Arial"/>
        <family val="2"/>
      </rPr>
      <t>Anbauzeitpunkt:</t>
    </r>
    <r>
      <rPr>
        <b/>
        <sz val="11"/>
        <rFont val="Arial"/>
        <family val="2"/>
      </rPr>
      <t xml:space="preserve"> Ab April bis Mitte Juni und Mitte August bis Mitte September
</t>
    </r>
    <r>
      <rPr>
        <sz val="11"/>
        <rFont val="Arial"/>
        <family val="2"/>
      </rPr>
      <t>Abgabe in der 5 kg Packlung;</t>
    </r>
  </si>
  <si>
    <r>
      <rPr>
        <b/>
        <u/>
        <sz val="11"/>
        <rFont val="Arial"/>
        <family val="2"/>
      </rPr>
      <t>36 Arten aus 12 Pflanzenfamilien:</t>
    </r>
    <r>
      <rPr>
        <sz val="11"/>
        <rFont val="Arial"/>
        <family val="2"/>
      </rPr>
      <t xml:space="preserve"> Gewöhnliches Ruchgras, Zitttergras, Wiesen-Kammgras, Horstrotschwingel, Wiesenrispe, Echte Schafgarbe, Echt-Wundklee, Echt-Betonie, Gewöhnliche Wiesenglockenblume, Echter-Kümmel, Gewöhnliche Skabiosenflockenblume, Gewöhnliche Wiesenflockenblume, Wiesen-Pippau, Gewöhnlich-Wegwarte, Wilde Möhre, Karthäusernelke, Gewöhnlich-Natternkopf, Echte Nelkenwurz, Wiesenlabkraut, Echtes Labkraut, Gewöhnliche Wiesenwitwenblume, Rauer Löwenzahn, Gewöhnlicher Wiesen-Leuenzahn, Kleine Wiesen-Margerite, Fettwiesen-Margerite, Wiesen-Hornklee, Gewöhnlich-Kuckuckslichtnelke, Gelbklee, Pastinak, Groß-Bibernelle, Spitz-Wegerich, Mittel-Wegerich, Gewöhnliche Braunelle, Kleiner Wiesenknopf, Rote Lichtnelke, Gewöhnliches Blasen-Leimkraut, Östlicher Wiesenbocksbart
</t>
    </r>
    <r>
      <rPr>
        <b/>
        <u/>
        <sz val="11"/>
        <rFont val="Arial"/>
        <family val="2"/>
      </rPr>
      <t>Anbauzeitpunkt:</t>
    </r>
    <r>
      <rPr>
        <b/>
        <sz val="11"/>
        <rFont val="Arial"/>
        <family val="2"/>
      </rPr>
      <t xml:space="preserve"> Ab April bis Mitte Juni und Mitte August bis Mitte September
</t>
    </r>
    <r>
      <rPr>
        <sz val="11"/>
        <rFont val="Arial"/>
        <family val="2"/>
      </rPr>
      <t>Abgabe in der 5 kg Packung</t>
    </r>
  </si>
  <si>
    <r>
      <rPr>
        <b/>
        <u/>
        <sz val="11"/>
        <rFont val="Arial"/>
        <family val="2"/>
      </rPr>
      <t>31 Arten aus 12 Pflanzenfamilien:</t>
    </r>
    <r>
      <rPr>
        <sz val="11"/>
        <rFont val="Arial"/>
        <family val="2"/>
      </rPr>
      <t xml:space="preserve"> Echte Schafgarbe, Echt-Wundklee, Echt-Betonie, Gewöhnliche Wiesenglockenblume, Gewöhnliche Skabiosenflockenblume, Kornblume, Gewöhnliche Wiesenflockenblume, Wiesen-Pippau, Gewöhnlich-Wegwarte, Wilde Möhre, Karthäusernelke, Wild-Karde, Gewöhnlich-Natternkopf,  Echtes Labkraut, Echt-Johanniskraut, Gewöhnliche Wiesenwitwenblume, Rauer Löwenzahn, Herbst-Schuppen Leuenzahn, Kleine Wiesen-Margerite, Fettwiesen-Margerite,  Gewöhnlich-Kuckuckslichtnelke, Echt-Kamille, Weiß-Steinklee, 
Gelb-Steinklee, Klatsch-Mohn, Echt-Pastinak, Eigentlicher Wiesensalbei, Rote Lichtnelke, Gewöhnliches Blasen-Leimkraut, Faden-Klee, Kleinblütige Königskerze
</t>
    </r>
    <r>
      <rPr>
        <b/>
        <u/>
        <sz val="11"/>
        <rFont val="Arial"/>
        <family val="2"/>
      </rPr>
      <t>Anbauzeitpunkt:</t>
    </r>
    <r>
      <rPr>
        <b/>
        <sz val="11"/>
        <rFont val="Arial"/>
        <family val="2"/>
      </rPr>
      <t xml:space="preserve"> Ab April bis Mitte Juni und Mitte August bis Mitte September
</t>
    </r>
    <r>
      <rPr>
        <sz val="11"/>
        <rFont val="Arial"/>
        <family val="2"/>
      </rPr>
      <t>Abgabe in der 5 kg Packung</t>
    </r>
  </si>
  <si>
    <r>
      <t xml:space="preserve">Sofern nicht anders angeführt stellen die Angaben für Mischungen der Kärntner Saatbau € / kg oder Packung unverbindlich empfohlene </t>
    </r>
    <r>
      <rPr>
        <b/>
        <sz val="11"/>
        <rFont val="Arial"/>
        <family val="2"/>
      </rPr>
      <t>Verkaufspreise inkl. MwSt., exkl. Fracht dar</t>
    </r>
    <r>
      <rPr>
        <sz val="11"/>
        <rFont val="Arial"/>
        <family val="2"/>
      </rPr>
      <t xml:space="preserve">  - Änderungen und  Irrtum vorbehalten.</t>
    </r>
  </si>
  <si>
    <r>
      <t xml:space="preserve">Sofern nicht anders angeführt stellen die Angaben € / kg oder Packung unverbindlich empfohlene </t>
    </r>
    <r>
      <rPr>
        <b/>
        <sz val="12"/>
        <rFont val="Arial"/>
        <family val="2"/>
      </rPr>
      <t>Verkaufspreise inkl. MwSt., exkl. Fracht dar</t>
    </r>
    <r>
      <rPr>
        <sz val="12"/>
        <rFont val="Arial"/>
        <family val="2"/>
      </rPr>
      <t xml:space="preserve">  - Änderungen und  Irrtum vorbehalten.</t>
    </r>
  </si>
  <si>
    <t>Beachten Sie hinsichtlich der Preisangaben die mit * gekennzeichneten Spalten bzw. Preisangaben (siehe jeweilige Anmerkung zu *).</t>
  </si>
  <si>
    <t>Genauere Angaben bezüglich Sorten und deren Eigenschaften finden Sie bei Ihrem Landesproduktenhändler oder online unter:</t>
  </si>
  <si>
    <r>
      <rPr>
        <b/>
        <u/>
        <sz val="12"/>
        <rFont val="Arial"/>
        <family val="2"/>
      </rPr>
      <t>AGRANA:</t>
    </r>
    <r>
      <rPr>
        <sz val="12"/>
        <rFont val="Arial"/>
        <family val="2"/>
      </rPr>
      <t xml:space="preserve"> https://www.agrana.com</t>
    </r>
  </si>
  <si>
    <r>
      <rPr>
        <b/>
        <u/>
        <sz val="12"/>
        <rFont val="Arial"/>
        <family val="2"/>
      </rPr>
      <t>RWA AG:</t>
    </r>
    <r>
      <rPr>
        <sz val="12"/>
        <rFont val="Arial"/>
        <family val="2"/>
      </rPr>
      <t xml:space="preserve"> https://www.diesaat.at</t>
    </r>
  </si>
  <si>
    <r>
      <rPr>
        <b/>
        <u/>
        <sz val="12"/>
        <rFont val="Arial"/>
        <family val="2"/>
      </rPr>
      <t>HESA Saatengroßhandlung:</t>
    </r>
    <r>
      <rPr>
        <sz val="12"/>
        <rFont val="Arial"/>
        <family val="2"/>
      </rPr>
      <t xml:space="preserve"> https://www.hesa.co.at/</t>
    </r>
  </si>
  <si>
    <r>
      <rPr>
        <b/>
        <u/>
        <sz val="12"/>
        <rFont val="Arial"/>
        <family val="2"/>
      </rPr>
      <t>Saatbau Linz:</t>
    </r>
    <r>
      <rPr>
        <sz val="12"/>
        <rFont val="Arial"/>
        <family val="2"/>
      </rPr>
      <t xml:space="preserve"> https://www.saatbau.com (Saatbau Linz)</t>
    </r>
  </si>
  <si>
    <r>
      <rPr>
        <b/>
        <u/>
        <sz val="12"/>
        <rFont val="Arial"/>
        <family val="2"/>
      </rPr>
      <t>Kärnter Saatbau:</t>
    </r>
    <r>
      <rPr>
        <sz val="12"/>
        <rFont val="Arial"/>
        <family val="2"/>
      </rPr>
      <t xml:space="preserve"> https://www.saatbau.at (Kärntner Saatbau)</t>
    </r>
  </si>
  <si>
    <r>
      <rPr>
        <b/>
        <u/>
        <sz val="12"/>
        <rFont val="Arial"/>
        <family val="2"/>
      </rPr>
      <t>Deutsche Saatveredelung (DSV)</t>
    </r>
    <r>
      <rPr>
        <sz val="12"/>
        <rFont val="Arial"/>
        <family val="2"/>
      </rPr>
      <t>: https://www.dsv-saaten.de (bzw. office@humusbewegung.at)</t>
    </r>
  </si>
  <si>
    <t>Neu: HR 168 Biodiversitäts-Blühmischung</t>
  </si>
  <si>
    <t>ReNatura BD 3 Biodiversitätsmischung  Universal (herkunfszertifiziert nach G-Zert)</t>
  </si>
  <si>
    <t>Regionale Blühmischung:
ReNatura BD 1 Biodiversitätsmischung für Grünland  (herkunfszertifiziert nach G-Zert)</t>
  </si>
  <si>
    <t>Regionale Blühmischung:
ReNatura BD 2 Biodiversitätsmischung für Acker  (herkunfszertifiziert nach G-Zert)</t>
  </si>
  <si>
    <t>Kosten der Fertigmischung
je kg</t>
  </si>
  <si>
    <t>Tabellenblatt "Mischungen verfeinern"</t>
  </si>
  <si>
    <r>
      <t xml:space="preserve">Dieser Bereich ist in die Tabellenblätter </t>
    </r>
    <r>
      <rPr>
        <b/>
        <u/>
        <sz val="11"/>
        <color theme="1"/>
        <rFont val="Arial"/>
        <family val="2"/>
      </rPr>
      <t>Begrünungstabellen 2026</t>
    </r>
    <r>
      <rPr>
        <sz val="11"/>
        <color theme="1"/>
        <rFont val="Arial"/>
        <family val="2"/>
      </rPr>
      <t xml:space="preserve"> und </t>
    </r>
    <r>
      <rPr>
        <b/>
        <u/>
        <sz val="11"/>
        <color theme="1"/>
        <rFont val="Arial"/>
        <family val="2"/>
      </rPr>
      <t>Anbauzeitpunkte</t>
    </r>
    <r>
      <rPr>
        <sz val="11"/>
        <color theme="1"/>
        <rFont val="Arial"/>
        <family val="2"/>
      </rPr>
      <t xml:space="preserve"> gegliedert.</t>
    </r>
  </si>
  <si>
    <r>
      <t xml:space="preserve">Sie können hier den entsprechenden Preis eingeben - 
</t>
    </r>
    <r>
      <rPr>
        <sz val="11"/>
        <rFont val="Arial"/>
        <family val="2"/>
      </rPr>
      <t>die vorausgefüllten Werte entsprechen Durchschnittswerten laut Preisspanne gem. Begrünungstabelle 2026</t>
    </r>
    <r>
      <rPr>
        <b/>
        <sz val="11"/>
        <rFont val="Arial"/>
        <family val="2"/>
      </rPr>
      <t xml:space="preserve">
</t>
    </r>
  </si>
  <si>
    <r>
      <t xml:space="preserve">* gem. österreichischem Verzeichnis der allgemeingültigen Genehmigungen für die Verwendung von nicht-biologischem Pflanzenvermehrungsmaterial für das Jahr 2026. 
</t>
    </r>
    <r>
      <rPr>
        <b/>
        <u/>
        <sz val="11"/>
        <color theme="1"/>
        <rFont val="Arial"/>
        <family val="2"/>
      </rPr>
      <t>Erreichbar unter folgendem Link:</t>
    </r>
  </si>
  <si>
    <r>
      <rPr>
        <sz val="14"/>
        <rFont val="Arial"/>
        <family val="2"/>
      </rPr>
      <t>◄</t>
    </r>
    <r>
      <rPr>
        <u/>
        <sz val="14"/>
        <rFont val="Arial"/>
        <family val="2"/>
      </rPr>
      <t xml:space="preserve">
ZURÜCK ZUR
STARTSEITE /
BEDIENUNGSANLEITUNG</t>
    </r>
  </si>
  <si>
    <r>
      <t xml:space="preserve">ZUR
ZUSAMMENFASSUNG
</t>
    </r>
    <r>
      <rPr>
        <sz val="24"/>
        <rFont val="Arial"/>
        <family val="2"/>
      </rPr>
      <t>►</t>
    </r>
  </si>
  <si>
    <t>Sareptasenf*</t>
  </si>
  <si>
    <t>Sareptasenf</t>
  </si>
  <si>
    <r>
      <t xml:space="preserve">TL MaisPro AT mit </t>
    </r>
    <r>
      <rPr>
        <b/>
        <sz val="12"/>
        <rFont val="Arial"/>
        <family val="2"/>
      </rPr>
      <t>Bioanteil</t>
    </r>
  </si>
  <si>
    <r>
      <t xml:space="preserve">TL Rigol AT mit </t>
    </r>
    <r>
      <rPr>
        <b/>
        <sz val="12"/>
        <rFont val="Arial"/>
        <family val="2"/>
      </rPr>
      <t>Bionateil</t>
    </r>
  </si>
  <si>
    <t>TL MaisPro AT mit Bioanteil</t>
  </si>
  <si>
    <t>TL Rigol AT mit Bionateil</t>
  </si>
  <si>
    <t>bwsb</t>
  </si>
  <si>
    <r>
      <t xml:space="preserve">Sie können hier den entsprechenden Preis eingeben - 
</t>
    </r>
    <r>
      <rPr>
        <sz val="11"/>
        <rFont val="Arial"/>
        <family val="2"/>
      </rPr>
      <t>die vorausgefüllten Werte entsprechen Durchschnittswerten laut Preisspanne gem. Begrünungstabelle 2026</t>
    </r>
  </si>
  <si>
    <r>
      <rPr>
        <sz val="22"/>
        <rFont val="Arial"/>
        <family val="2"/>
      </rPr>
      <t>◄</t>
    </r>
    <r>
      <rPr>
        <u/>
        <sz val="14"/>
        <rFont val="Arial"/>
        <family val="2"/>
      </rPr>
      <t xml:space="preserve">
ZURÜCK ZUR
STARTSEITE /
BEDIENUNGSANLEITUNG</t>
    </r>
  </si>
  <si>
    <r>
      <t xml:space="preserve">ZURÜCK ZUM
BEGRÜNUNGSRECHNER
integrierte Produktion
</t>
    </r>
    <r>
      <rPr>
        <sz val="22"/>
        <rFont val="Arial"/>
        <family val="2"/>
      </rPr>
      <t>◄</t>
    </r>
  </si>
  <si>
    <r>
      <t xml:space="preserve">ZURÜCK ZUM
BEGRÜNUNGSRECHNER
BIO
</t>
    </r>
    <r>
      <rPr>
        <sz val="14"/>
        <rFont val="Arial"/>
        <family val="2"/>
      </rPr>
      <t>◄</t>
    </r>
  </si>
  <si>
    <r>
      <rPr>
        <u/>
        <sz val="12"/>
        <rFont val="Arial"/>
        <family val="2"/>
      </rPr>
      <t>Durch einen KLICK auf diesen Link</t>
    </r>
    <r>
      <rPr>
        <u/>
        <sz val="11"/>
        <rFont val="Arial"/>
        <family val="2"/>
      </rPr>
      <t xml:space="preserve"> </t>
    </r>
    <r>
      <rPr>
        <u/>
        <sz val="20"/>
        <rFont val="Arial"/>
        <family val="2"/>
      </rPr>
      <t>►</t>
    </r>
    <r>
      <rPr>
        <u/>
        <sz val="11"/>
        <rFont val="Arial"/>
        <family val="2"/>
      </rPr>
      <t xml:space="preserve"> </t>
    </r>
    <r>
      <rPr>
        <u/>
        <sz val="12"/>
        <rFont val="Arial"/>
        <family val="2"/>
      </rPr>
      <t xml:space="preserve">gelangen Sie zur </t>
    </r>
    <r>
      <rPr>
        <b/>
        <u/>
        <sz val="12"/>
        <rFont val="Arial"/>
        <family val="2"/>
      </rPr>
      <t>Begrünungsliste</t>
    </r>
  </si>
  <si>
    <t>Bestes Futtergemenge, durch Spätsaatverträglichkeit und sehr guter Vorfruchtwirkung auch eine ideale Gründüngung, überjährig.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</si>
</sst>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7" formatCode="&quot;€&quot;\ #,##0.00;\-&quot;€&quot;\ #,##0.00"/>
    <numFmt numFmtId="44" formatCode="_-&quot;€&quot;\ * #,##0.00_-;\-&quot;€&quot;\ * #,##0.00_-;_-&quot;€&quot;\ * &quot;-&quot;??_-;_-@_-"/>
    <numFmt numFmtId="43" formatCode="_-* #,##0.00_-;\-* #,##0.00_-;_-* &quot;-&quot;??_-;_-@_-"/>
    <numFmt numFmtId="164" formatCode="0.0"/>
    <numFmt numFmtId="165" formatCode="0.0%"/>
    <numFmt numFmtId="166" formatCode="0&quot; kg/ha&quot;"/>
    <numFmt numFmtId="167" formatCode="&quot;€&quot;\ #,##0.0"/>
    <numFmt numFmtId="168" formatCode="0.0000"/>
    <numFmt numFmtId="169" formatCode="0.0&quot; kg/ha&quot;"/>
    <numFmt numFmtId="170" formatCode="&quot;€&quot;\ #,##0.00"/>
  </numFmts>
  <fonts count="64" x14ac:knownFonts="1">
    <font>
      <sz val="11"/>
      <color theme="1"/>
      <name val="Arial"/>
      <family val="2"/>
    </font>
    <font>
      <sz val="12"/>
      <name val="Times New Roman"/>
      <family val="1"/>
    </font>
    <font>
      <b/>
      <sz val="16"/>
      <name val="Arial"/>
      <family val="2"/>
    </font>
    <font>
      <b/>
      <sz val="11"/>
      <name val="Arial"/>
      <family val="2"/>
    </font>
    <font>
      <sz val="10"/>
      <name val="Arial"/>
      <family val="2"/>
    </font>
    <font>
      <b/>
      <sz val="14"/>
      <name val="Arial"/>
      <family val="2"/>
    </font>
    <font>
      <b/>
      <sz val="14"/>
      <color indexed="9"/>
      <name val="Arial"/>
      <family val="2"/>
    </font>
    <font>
      <b/>
      <sz val="10"/>
      <color indexed="9"/>
      <name val="Arial"/>
      <family val="2"/>
    </font>
    <font>
      <sz val="12"/>
      <name val="Arial"/>
      <family val="2"/>
    </font>
    <font>
      <b/>
      <sz val="12"/>
      <name val="Arial"/>
      <family val="2"/>
    </font>
    <font>
      <sz val="11"/>
      <name val="Arial"/>
      <family val="2"/>
    </font>
    <font>
      <sz val="11"/>
      <color theme="1"/>
      <name val="Times New Roman"/>
      <family val="1"/>
    </font>
    <font>
      <sz val="9"/>
      <color indexed="81"/>
      <name val="Segoe UI"/>
      <family val="2"/>
    </font>
    <font>
      <b/>
      <sz val="9"/>
      <color indexed="81"/>
      <name val="Segoe UI"/>
      <family val="2"/>
    </font>
    <font>
      <b/>
      <u/>
      <sz val="11"/>
      <name val="Arial"/>
      <family val="2"/>
    </font>
    <font>
      <b/>
      <sz val="20"/>
      <name val="Arial"/>
      <family val="2"/>
    </font>
    <font>
      <b/>
      <sz val="22"/>
      <name val="Arial"/>
      <family val="2"/>
    </font>
    <font>
      <sz val="22"/>
      <name val="Arial"/>
      <family val="2"/>
    </font>
    <font>
      <b/>
      <sz val="13"/>
      <name val="Arial"/>
      <family val="2"/>
    </font>
    <font>
      <sz val="14"/>
      <name val="Arial"/>
      <family val="2"/>
    </font>
    <font>
      <sz val="12"/>
      <color theme="1"/>
      <name val="Arial"/>
      <family val="2"/>
    </font>
    <font>
      <sz val="11"/>
      <color rgb="FF000000"/>
      <name val="Arial"/>
      <family val="2"/>
    </font>
    <font>
      <b/>
      <u/>
      <sz val="16"/>
      <name val="Arial"/>
      <family val="2"/>
    </font>
    <font>
      <b/>
      <sz val="11"/>
      <color theme="1"/>
      <name val="Arial"/>
      <family val="2"/>
    </font>
    <font>
      <b/>
      <u/>
      <sz val="11"/>
      <color theme="1"/>
      <name val="Arial"/>
      <family val="2"/>
    </font>
    <font>
      <b/>
      <u/>
      <sz val="12"/>
      <color theme="1"/>
      <name val="Arial"/>
      <family val="2"/>
    </font>
    <font>
      <u/>
      <sz val="11"/>
      <color theme="10"/>
      <name val="Arial"/>
      <family val="2"/>
    </font>
    <font>
      <b/>
      <sz val="16"/>
      <color theme="1"/>
      <name val="Arial"/>
      <family val="2"/>
    </font>
    <font>
      <u/>
      <sz val="12"/>
      <color theme="10"/>
      <name val="Arial"/>
      <family val="2"/>
    </font>
    <font>
      <u/>
      <sz val="12"/>
      <name val="Arial"/>
      <family val="2"/>
    </font>
    <font>
      <u/>
      <sz val="18"/>
      <name val="Arial"/>
      <family val="2"/>
    </font>
    <font>
      <u/>
      <sz val="20"/>
      <name val="Arial"/>
      <family val="2"/>
    </font>
    <font>
      <b/>
      <u/>
      <sz val="12"/>
      <name val="Arial"/>
      <family val="2"/>
    </font>
    <font>
      <b/>
      <u/>
      <sz val="20"/>
      <color theme="1"/>
      <name val="Arial"/>
      <family val="2"/>
    </font>
    <font>
      <b/>
      <sz val="14"/>
      <color theme="1"/>
      <name val="Arial"/>
      <family val="2"/>
    </font>
    <font>
      <b/>
      <sz val="36"/>
      <color indexed="9"/>
      <name val="Arial"/>
      <family val="2"/>
    </font>
    <font>
      <b/>
      <sz val="12"/>
      <color theme="1"/>
      <name val="Arial"/>
      <family val="2"/>
    </font>
    <font>
      <sz val="12"/>
      <name val="Times New Roman"/>
      <family val="1"/>
    </font>
    <font>
      <i/>
      <sz val="11"/>
      <name val="Arial"/>
      <family val="2"/>
    </font>
    <font>
      <b/>
      <u/>
      <sz val="18"/>
      <color theme="1"/>
      <name val="Arial"/>
      <family val="2"/>
    </font>
    <font>
      <u/>
      <sz val="14"/>
      <color theme="1"/>
      <name val="Arial"/>
      <family val="2"/>
    </font>
    <font>
      <sz val="14"/>
      <color theme="1"/>
      <name val="Arial"/>
      <family val="2"/>
    </font>
    <font>
      <u/>
      <sz val="11"/>
      <color theme="1"/>
      <name val="Arial"/>
      <family val="2"/>
    </font>
    <font>
      <b/>
      <u/>
      <sz val="14"/>
      <color theme="1"/>
      <name val="Arial"/>
      <family val="2"/>
    </font>
    <font>
      <b/>
      <sz val="11"/>
      <color indexed="9"/>
      <name val="Arial"/>
      <family val="2"/>
    </font>
    <font>
      <b/>
      <u/>
      <sz val="11"/>
      <color indexed="9"/>
      <name val="Arial"/>
      <family val="2"/>
    </font>
    <font>
      <sz val="12"/>
      <name val="Times New Roman"/>
      <family val="1"/>
    </font>
    <font>
      <b/>
      <sz val="12"/>
      <color indexed="9"/>
      <name val="Arial"/>
      <family val="2"/>
    </font>
    <font>
      <b/>
      <sz val="10"/>
      <color indexed="81"/>
      <name val="Segoe UI"/>
      <family val="2"/>
    </font>
    <font>
      <b/>
      <sz val="11"/>
      <color indexed="81"/>
      <name val="Segoe UI"/>
      <family val="2"/>
    </font>
    <font>
      <sz val="10"/>
      <color indexed="81"/>
      <name val="Segoe UI"/>
      <family val="2"/>
    </font>
    <font>
      <b/>
      <u/>
      <sz val="10"/>
      <color indexed="81"/>
      <name val="Segoe UI"/>
      <family val="2"/>
    </font>
    <font>
      <b/>
      <u/>
      <sz val="11"/>
      <color indexed="81"/>
      <name val="Segoe UI"/>
      <family val="2"/>
    </font>
    <font>
      <b/>
      <sz val="12"/>
      <color indexed="81"/>
      <name val="Segoe UI"/>
      <family val="2"/>
    </font>
    <font>
      <b/>
      <sz val="18"/>
      <color theme="1"/>
      <name val="Arial"/>
      <family val="2"/>
    </font>
    <font>
      <u/>
      <sz val="20"/>
      <color theme="1"/>
      <name val="Arial"/>
      <family val="2"/>
    </font>
    <font>
      <u/>
      <sz val="12"/>
      <color theme="1"/>
      <name val="Arial"/>
      <family val="2"/>
    </font>
    <font>
      <sz val="9"/>
      <name val="Arial"/>
      <family val="2"/>
    </font>
    <font>
      <sz val="8"/>
      <name val="Arial"/>
      <family val="2"/>
    </font>
    <font>
      <b/>
      <i/>
      <sz val="11"/>
      <name val="Arial"/>
      <family val="2"/>
    </font>
    <font>
      <i/>
      <sz val="12"/>
      <name val="Arial"/>
      <family val="2"/>
    </font>
    <font>
      <u/>
      <sz val="11"/>
      <name val="Arial"/>
      <family val="2"/>
    </font>
    <font>
      <u/>
      <sz val="14"/>
      <name val="Arial"/>
      <family val="2"/>
    </font>
    <font>
      <sz val="24"/>
      <name val="Arial"/>
      <family val="2"/>
    </font>
  </fonts>
  <fills count="18">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9"/>
        <bgColor indexed="64"/>
      </patternFill>
    </fill>
    <fill>
      <patternFill patternType="solid">
        <fgColor rgb="FFCCFFCC"/>
        <bgColor indexed="64"/>
      </patternFill>
    </fill>
    <fill>
      <patternFill patternType="solid">
        <fgColor indexed="42"/>
        <bgColor indexed="64"/>
      </patternFill>
    </fill>
    <fill>
      <patternFill patternType="solid">
        <fgColor theme="0"/>
        <bgColor indexed="64"/>
      </patternFill>
    </fill>
    <fill>
      <patternFill patternType="solid">
        <fgColor rgb="FFFFFFCC"/>
        <bgColor indexed="64"/>
      </patternFill>
    </fill>
    <fill>
      <patternFill patternType="solid">
        <fgColor theme="7" tint="0.79998168889431442"/>
        <bgColor indexed="64"/>
      </patternFill>
    </fill>
    <fill>
      <patternFill patternType="solid">
        <fgColor indexed="9"/>
        <bgColor indexed="64"/>
      </patternFill>
    </fill>
    <fill>
      <patternFill patternType="solid">
        <fgColor theme="9" tint="0.59999389629810485"/>
        <bgColor indexed="64"/>
      </patternFill>
    </fill>
    <fill>
      <patternFill patternType="solid">
        <fgColor theme="7" tint="-0.249977111117893"/>
        <bgColor indexed="64"/>
      </patternFill>
    </fill>
    <fill>
      <patternFill patternType="solid">
        <fgColor rgb="FF92D050"/>
        <bgColor indexed="64"/>
      </patternFill>
    </fill>
    <fill>
      <patternFill patternType="solid">
        <fgColor rgb="FFFFC000"/>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4" tint="0.39994506668294322"/>
        <bgColor indexed="64"/>
      </patternFill>
    </fill>
  </fills>
  <borders count="10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style="thick">
        <color indexed="64"/>
      </left>
      <right style="thick">
        <color indexed="64"/>
      </right>
      <top style="medium">
        <color indexed="64"/>
      </top>
      <bottom style="thick">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ck">
        <color indexed="64"/>
      </left>
      <right style="thick">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ck">
        <color indexed="64"/>
      </left>
      <right style="thick">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ck">
        <color indexed="64"/>
      </left>
      <right style="thick">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ck">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thin">
        <color indexed="64"/>
      </bottom>
      <diagonal/>
    </border>
    <border>
      <left style="medium">
        <color indexed="64"/>
      </left>
      <right/>
      <top style="thin">
        <color indexed="64"/>
      </top>
      <bottom/>
      <diagonal/>
    </border>
    <border>
      <left style="thick">
        <color indexed="64"/>
      </left>
      <right style="thick">
        <color indexed="64"/>
      </right>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top style="thick">
        <color indexed="64"/>
      </top>
      <bottom style="medium">
        <color indexed="64"/>
      </bottom>
      <diagonal/>
    </border>
    <border>
      <left style="thick">
        <color indexed="64"/>
      </left>
      <right/>
      <top style="medium">
        <color indexed="64"/>
      </top>
      <bottom style="medium">
        <color indexed="64"/>
      </bottom>
      <diagonal/>
    </border>
    <border>
      <left style="thick">
        <color indexed="64"/>
      </left>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top style="medium">
        <color indexed="64"/>
      </top>
      <bottom style="thick">
        <color indexed="64"/>
      </bottom>
      <diagonal/>
    </border>
    <border>
      <left style="thin">
        <color indexed="64"/>
      </left>
      <right style="thick">
        <color indexed="64"/>
      </right>
      <top style="medium">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bottom style="thick">
        <color indexed="64"/>
      </bottom>
      <diagonal/>
    </border>
    <border>
      <left style="thin">
        <color indexed="64"/>
      </left>
      <right style="thin">
        <color indexed="64"/>
      </right>
      <top/>
      <bottom style="thick">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thick">
        <color indexed="64"/>
      </left>
      <right style="medium">
        <color indexed="64"/>
      </right>
      <top style="medium">
        <color indexed="64"/>
      </top>
      <bottom style="thick">
        <color indexed="64"/>
      </bottom>
      <diagonal/>
    </border>
    <border>
      <left style="thick">
        <color indexed="64"/>
      </left>
      <right style="medium">
        <color indexed="64"/>
      </right>
      <top style="medium">
        <color indexed="64"/>
      </top>
      <bottom style="medium">
        <color indexed="64"/>
      </bottom>
      <diagonal/>
    </border>
    <border>
      <left style="thick">
        <color indexed="64"/>
      </left>
      <right style="thin">
        <color indexed="64"/>
      </right>
      <top style="medium">
        <color indexed="64"/>
      </top>
      <bottom style="medium">
        <color indexed="64"/>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ck">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ck">
        <color indexed="64"/>
      </left>
      <right style="thin">
        <color indexed="64"/>
      </right>
      <top/>
      <bottom style="medium">
        <color indexed="64"/>
      </bottom>
      <diagonal/>
    </border>
    <border>
      <left style="thick">
        <color indexed="64"/>
      </left>
      <right style="thin">
        <color indexed="64"/>
      </right>
      <top/>
      <bottom style="thick">
        <color indexed="64"/>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thick">
        <color indexed="64"/>
      </bottom>
      <diagonal/>
    </border>
    <border>
      <left style="thick">
        <color indexed="64"/>
      </left>
      <right style="thick">
        <color indexed="64"/>
      </right>
      <top style="thick">
        <color indexed="64"/>
      </top>
      <bottom style="medium">
        <color indexed="64"/>
      </bottom>
      <diagonal/>
    </border>
    <border>
      <left style="thick">
        <color indexed="64"/>
      </left>
      <right style="thick">
        <color indexed="64"/>
      </right>
      <top style="medium">
        <color indexed="64"/>
      </top>
      <bottom/>
      <diagonal/>
    </border>
    <border>
      <left style="thick">
        <color indexed="64"/>
      </left>
      <right style="thick">
        <color indexed="64"/>
      </right>
      <top/>
      <bottom/>
      <diagonal/>
    </border>
    <border>
      <left/>
      <right/>
      <top style="thick">
        <color indexed="64"/>
      </top>
      <bottom style="medium">
        <color indexed="64"/>
      </bottom>
      <diagonal/>
    </border>
    <border>
      <left style="thick">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ck">
        <color indexed="64"/>
      </left>
      <right style="thin">
        <color indexed="64"/>
      </right>
      <top style="medium">
        <color indexed="64"/>
      </top>
      <bottom style="thick">
        <color indexed="64"/>
      </bottom>
      <diagonal/>
    </border>
  </borders>
  <cellStyleXfs count="12">
    <xf numFmtId="0" fontId="0" fillId="0" borderId="0"/>
    <xf numFmtId="0" fontId="1" fillId="0" borderId="0"/>
    <xf numFmtId="0" fontId="4" fillId="0" borderId="0"/>
    <xf numFmtId="0" fontId="1" fillId="0" borderId="0"/>
    <xf numFmtId="44" fontId="1" fillId="0" borderId="0" applyFont="0" applyFill="0" applyBorder="0" applyAlignment="0" applyProtection="0"/>
    <xf numFmtId="0" fontId="26" fillId="0" borderId="0" applyNumberFormat="0" applyFill="0" applyBorder="0" applyAlignment="0" applyProtection="0"/>
    <xf numFmtId="0" fontId="37" fillId="0" borderId="0"/>
    <xf numFmtId="44" fontId="37" fillId="0" borderId="0" applyFont="0" applyFill="0" applyBorder="0" applyAlignment="0" applyProtection="0"/>
    <xf numFmtId="43" fontId="37" fillId="0" borderId="0" applyFont="0" applyFill="0" applyBorder="0" applyAlignment="0" applyProtection="0"/>
    <xf numFmtId="44" fontId="1" fillId="0" borderId="0" applyFont="0" applyFill="0" applyBorder="0" applyAlignment="0" applyProtection="0"/>
    <xf numFmtId="0" fontId="46" fillId="0" borderId="0"/>
    <xf numFmtId="0" fontId="1" fillId="0" borderId="0"/>
  </cellStyleXfs>
  <cellXfs count="653">
    <xf numFmtId="0" fontId="0" fillId="0" borderId="0" xfId="0"/>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0" borderId="0" xfId="0" applyFont="1" applyAlignment="1">
      <alignment horizontal="center" vertical="center" wrapText="1"/>
    </xf>
    <xf numFmtId="0" fontId="6" fillId="4" borderId="5" xfId="2" applyFont="1" applyFill="1" applyBorder="1" applyAlignment="1">
      <alignment horizontal="center" vertical="center" wrapText="1"/>
    </xf>
    <xf numFmtId="0" fontId="6" fillId="4" borderId="6" xfId="2" applyFont="1" applyFill="1" applyBorder="1" applyAlignment="1">
      <alignment horizontal="center" vertical="center" wrapText="1"/>
    </xf>
    <xf numFmtId="0" fontId="6" fillId="0" borderId="7" xfId="2" applyFont="1" applyBorder="1" applyAlignment="1">
      <alignment horizontal="center" vertical="center" wrapText="1"/>
    </xf>
    <xf numFmtId="0" fontId="7" fillId="4" borderId="8" xfId="2" applyFont="1" applyFill="1" applyBorder="1" applyAlignment="1">
      <alignment horizontal="center" vertical="center" wrapText="1"/>
    </xf>
    <xf numFmtId="0" fontId="7" fillId="4" borderId="9" xfId="2" applyFont="1" applyFill="1" applyBorder="1" applyAlignment="1">
      <alignment horizontal="center" vertical="center" wrapText="1"/>
    </xf>
    <xf numFmtId="0" fontId="7" fillId="4" borderId="10" xfId="2" applyFont="1" applyFill="1" applyBorder="1" applyAlignment="1">
      <alignment horizontal="center" vertical="center" wrapText="1"/>
    </xf>
    <xf numFmtId="0" fontId="7" fillId="4" borderId="11" xfId="2" applyFont="1" applyFill="1" applyBorder="1" applyAlignment="1">
      <alignment horizontal="center" vertical="center" wrapText="1"/>
    </xf>
    <xf numFmtId="2" fontId="0" fillId="0" borderId="2" xfId="0" applyNumberFormat="1" applyBorder="1" applyAlignment="1">
      <alignment horizontal="center" vertical="center"/>
    </xf>
    <xf numFmtId="164" fontId="0" fillId="0" borderId="1" xfId="0" applyNumberFormat="1" applyBorder="1" applyAlignment="1">
      <alignment horizontal="center" vertical="center"/>
    </xf>
    <xf numFmtId="165" fontId="0" fillId="0" borderId="3" xfId="0" applyNumberFormat="1" applyBorder="1" applyAlignment="1">
      <alignment horizontal="center" vertical="center"/>
    </xf>
    <xf numFmtId="0" fontId="8" fillId="0" borderId="13" xfId="3" applyFont="1" applyBorder="1" applyAlignment="1">
      <alignment horizontal="left" vertical="center" wrapText="1"/>
    </xf>
    <xf numFmtId="2" fontId="8" fillId="0" borderId="15" xfId="3" applyNumberFormat="1" applyFont="1" applyBorder="1" applyAlignment="1">
      <alignment horizontal="center" vertical="center"/>
    </xf>
    <xf numFmtId="2" fontId="8" fillId="0" borderId="20" xfId="3" applyNumberFormat="1" applyFont="1" applyBorder="1" applyAlignment="1">
      <alignment horizontal="center" vertical="center"/>
    </xf>
    <xf numFmtId="0" fontId="8" fillId="0" borderId="25" xfId="3" applyFont="1" applyBorder="1" applyAlignment="1">
      <alignment vertical="center" wrapText="1"/>
    </xf>
    <xf numFmtId="0" fontId="8" fillId="0" borderId="26" xfId="3" applyFont="1" applyBorder="1" applyAlignment="1">
      <alignment vertical="center" wrapText="1"/>
    </xf>
    <xf numFmtId="0" fontId="8" fillId="0" borderId="27" xfId="3" applyFont="1" applyBorder="1" applyAlignment="1">
      <alignment vertical="center" wrapText="1"/>
    </xf>
    <xf numFmtId="0" fontId="8" fillId="0" borderId="3" xfId="3" applyFont="1" applyBorder="1" applyAlignment="1">
      <alignment vertical="center" wrapText="1"/>
    </xf>
    <xf numFmtId="2" fontId="8" fillId="0" borderId="33" xfId="3" applyNumberFormat="1" applyFont="1" applyBorder="1" applyAlignment="1">
      <alignment horizontal="center" vertical="center"/>
    </xf>
    <xf numFmtId="0" fontId="8" fillId="0" borderId="13" xfId="3" applyFont="1" applyBorder="1" applyAlignment="1">
      <alignment vertical="center" wrapText="1"/>
    </xf>
    <xf numFmtId="0" fontId="8" fillId="0" borderId="37" xfId="3" applyFont="1" applyBorder="1" applyAlignment="1">
      <alignment vertical="center" wrapText="1"/>
    </xf>
    <xf numFmtId="0" fontId="8" fillId="0" borderId="41" xfId="3" applyFont="1" applyBorder="1" applyAlignment="1">
      <alignment vertical="center" wrapText="1"/>
    </xf>
    <xf numFmtId="0" fontId="8" fillId="0" borderId="7" xfId="3" applyFont="1" applyBorder="1" applyAlignment="1">
      <alignment vertical="center" wrapText="1"/>
    </xf>
    <xf numFmtId="2" fontId="8" fillId="0" borderId="0" xfId="3" applyNumberFormat="1" applyFont="1" applyAlignment="1" applyProtection="1">
      <alignment horizontal="center" vertical="center"/>
      <protection locked="0"/>
    </xf>
    <xf numFmtId="0" fontId="9" fillId="0" borderId="0" xfId="3" quotePrefix="1" applyFont="1" applyAlignment="1">
      <alignment horizontal="center" vertical="center"/>
    </xf>
    <xf numFmtId="2" fontId="8" fillId="0" borderId="0" xfId="3" applyNumberFormat="1" applyFont="1" applyAlignment="1">
      <alignment horizontal="center" vertical="center"/>
    </xf>
    <xf numFmtId="2" fontId="4" fillId="0" borderId="0" xfId="2" applyNumberFormat="1" applyAlignment="1" applyProtection="1">
      <alignment horizontal="center" vertical="center" wrapText="1"/>
      <protection locked="0"/>
    </xf>
    <xf numFmtId="164" fontId="4" fillId="0" borderId="0" xfId="2" applyNumberFormat="1" applyAlignment="1">
      <alignment horizontal="center" vertical="center" wrapText="1"/>
    </xf>
    <xf numFmtId="0" fontId="4" fillId="0" borderId="0" xfId="2" applyAlignment="1">
      <alignment horizontal="center" vertical="center" wrapText="1"/>
    </xf>
    <xf numFmtId="0" fontId="0" fillId="0" borderId="0" xfId="0" applyProtection="1">
      <protection locked="0"/>
    </xf>
    <xf numFmtId="0" fontId="10" fillId="0" borderId="0" xfId="1" applyFont="1"/>
    <xf numFmtId="0" fontId="10" fillId="0" borderId="0" xfId="1" applyFont="1" applyAlignment="1">
      <alignment horizontal="left"/>
    </xf>
    <xf numFmtId="0" fontId="11" fillId="0" borderId="0" xfId="0" applyFont="1"/>
    <xf numFmtId="0" fontId="9" fillId="6" borderId="28" xfId="3" applyFont="1" applyFill="1" applyBorder="1" applyAlignment="1">
      <alignment horizontal="center" vertical="center" wrapText="1"/>
    </xf>
    <xf numFmtId="2" fontId="8" fillId="0" borderId="28" xfId="3" applyNumberFormat="1" applyFont="1" applyBorder="1" applyAlignment="1">
      <alignment horizontal="center" vertical="center"/>
    </xf>
    <xf numFmtId="0" fontId="5" fillId="6" borderId="28" xfId="3" applyFont="1" applyFill="1" applyBorder="1" applyAlignment="1">
      <alignment horizontal="center" vertical="center"/>
    </xf>
    <xf numFmtId="0" fontId="8" fillId="0" borderId="0" xfId="1" applyFont="1"/>
    <xf numFmtId="0" fontId="8" fillId="0" borderId="28" xfId="3" applyFont="1" applyBorder="1" applyAlignment="1">
      <alignment vertical="center" wrapText="1"/>
    </xf>
    <xf numFmtId="0" fontId="10" fillId="0" borderId="28" xfId="3" applyFont="1" applyBorder="1" applyAlignment="1">
      <alignment vertical="center" wrapText="1"/>
    </xf>
    <xf numFmtId="0" fontId="10" fillId="0" borderId="0" xfId="1" applyFont="1" applyAlignment="1">
      <alignment wrapText="1"/>
    </xf>
    <xf numFmtId="0" fontId="8" fillId="0" borderId="25" xfId="3" applyFont="1" applyBorder="1" applyAlignment="1">
      <alignment horizontal="left" vertical="center" wrapText="1"/>
    </xf>
    <xf numFmtId="0" fontId="8" fillId="0" borderId="46" xfId="3" applyFont="1" applyBorder="1" applyAlignment="1">
      <alignment vertical="center" wrapText="1"/>
    </xf>
    <xf numFmtId="0" fontId="8" fillId="0" borderId="47" xfId="3" applyFont="1" applyBorder="1" applyAlignment="1">
      <alignment vertical="center" wrapText="1"/>
    </xf>
    <xf numFmtId="0" fontId="8" fillId="0" borderId="48" xfId="3" applyFont="1" applyBorder="1" applyAlignment="1">
      <alignment vertical="center" wrapText="1"/>
    </xf>
    <xf numFmtId="0" fontId="8" fillId="0" borderId="40" xfId="3" applyFont="1" applyBorder="1" applyAlignment="1">
      <alignment vertical="center" wrapText="1"/>
    </xf>
    <xf numFmtId="2" fontId="8" fillId="0" borderId="49" xfId="3" applyNumberFormat="1" applyFont="1" applyBorder="1" applyAlignment="1">
      <alignment horizontal="center" vertical="center"/>
    </xf>
    <xf numFmtId="2" fontId="8" fillId="9" borderId="32" xfId="3" applyNumberFormat="1" applyFont="1" applyFill="1" applyBorder="1" applyAlignment="1" applyProtection="1">
      <alignment horizontal="center" vertical="center"/>
      <protection locked="0"/>
    </xf>
    <xf numFmtId="0" fontId="8" fillId="9" borderId="32" xfId="3" quotePrefix="1" applyFont="1" applyFill="1" applyBorder="1" applyAlignment="1" applyProtection="1">
      <alignment horizontal="center" vertical="center"/>
      <protection locked="0"/>
    </xf>
    <xf numFmtId="0" fontId="15" fillId="4" borderId="36" xfId="2" applyFont="1" applyFill="1" applyBorder="1" applyAlignment="1">
      <alignment horizontal="center" vertical="center" wrapText="1"/>
    </xf>
    <xf numFmtId="0" fontId="2" fillId="3" borderId="1" xfId="1" applyFont="1" applyFill="1" applyBorder="1" applyAlignment="1">
      <alignment horizontal="center" vertical="center"/>
    </xf>
    <xf numFmtId="2" fontId="8" fillId="9" borderId="14" xfId="3" applyNumberFormat="1" applyFont="1" applyFill="1" applyBorder="1" applyAlignment="1" applyProtection="1">
      <alignment horizontal="center" vertical="center"/>
      <protection locked="0"/>
    </xf>
    <xf numFmtId="0" fontId="8" fillId="9" borderId="14" xfId="3" quotePrefix="1" applyFont="1" applyFill="1" applyBorder="1" applyAlignment="1" applyProtection="1">
      <alignment horizontal="center" vertical="center"/>
      <protection locked="0"/>
    </xf>
    <xf numFmtId="2" fontId="8" fillId="9" borderId="19" xfId="3" applyNumberFormat="1" applyFont="1" applyFill="1" applyBorder="1" applyAlignment="1" applyProtection="1">
      <alignment horizontal="center" vertical="center"/>
      <protection locked="0"/>
    </xf>
    <xf numFmtId="0" fontId="8" fillId="0" borderId="45" xfId="3" applyFont="1" applyBorder="1" applyAlignment="1">
      <alignment vertical="center" wrapText="1"/>
    </xf>
    <xf numFmtId="0" fontId="5" fillId="4" borderId="5" xfId="2" applyFont="1" applyFill="1" applyBorder="1" applyAlignment="1">
      <alignment horizontal="center" vertical="center" wrapText="1"/>
    </xf>
    <xf numFmtId="164" fontId="8" fillId="0" borderId="17" xfId="2" applyNumberFormat="1" applyFont="1" applyBorder="1" applyAlignment="1">
      <alignment horizontal="center" vertical="center" wrapText="1"/>
    </xf>
    <xf numFmtId="165" fontId="8" fillId="0" borderId="14" xfId="2" applyNumberFormat="1" applyFont="1" applyBorder="1" applyAlignment="1">
      <alignment horizontal="center" vertical="center" wrapText="1"/>
    </xf>
    <xf numFmtId="0" fontId="8" fillId="0" borderId="18" xfId="2" applyFont="1" applyBorder="1" applyAlignment="1">
      <alignment horizontal="center" vertical="center" wrapText="1"/>
    </xf>
    <xf numFmtId="0" fontId="8" fillId="0" borderId="24" xfId="2" applyFont="1" applyBorder="1" applyAlignment="1">
      <alignment horizontal="center" vertical="center" wrapText="1"/>
    </xf>
    <xf numFmtId="2" fontId="8" fillId="9" borderId="34" xfId="2" applyNumberFormat="1" applyFont="1" applyFill="1" applyBorder="1" applyAlignment="1" applyProtection="1">
      <alignment horizontal="center" vertical="center" wrapText="1"/>
      <protection locked="0"/>
    </xf>
    <xf numFmtId="165" fontId="8" fillId="0" borderId="32" xfId="2" applyNumberFormat="1" applyFont="1" applyBorder="1" applyAlignment="1">
      <alignment horizontal="center" vertical="center" wrapText="1"/>
    </xf>
    <xf numFmtId="0" fontId="8" fillId="9" borderId="19" xfId="3" quotePrefix="1" applyFont="1" applyFill="1" applyBorder="1" applyAlignment="1" applyProtection="1">
      <alignment horizontal="center" vertical="center"/>
      <protection locked="0"/>
    </xf>
    <xf numFmtId="164" fontId="8" fillId="0" borderId="22" xfId="2" applyNumberFormat="1" applyFont="1" applyBorder="1" applyAlignment="1">
      <alignment horizontal="center" vertical="center" wrapText="1"/>
    </xf>
    <xf numFmtId="165" fontId="8" fillId="0" borderId="23" xfId="2" applyNumberFormat="1" applyFont="1" applyBorder="1" applyAlignment="1">
      <alignment horizontal="center" vertical="center" wrapText="1"/>
    </xf>
    <xf numFmtId="2" fontId="8" fillId="9" borderId="53" xfId="2" applyNumberFormat="1" applyFont="1" applyFill="1" applyBorder="1" applyAlignment="1" applyProtection="1">
      <alignment horizontal="center" vertical="center" wrapText="1"/>
      <protection locked="0"/>
    </xf>
    <xf numFmtId="0" fontId="17" fillId="0" borderId="0" xfId="3" applyFont="1"/>
    <xf numFmtId="0" fontId="18" fillId="6" borderId="38" xfId="3" applyFont="1" applyFill="1" applyBorder="1" applyAlignment="1">
      <alignment horizontal="center" vertical="center" wrapText="1"/>
    </xf>
    <xf numFmtId="0" fontId="3" fillId="6" borderId="28" xfId="3" applyFont="1" applyFill="1" applyBorder="1" applyAlignment="1">
      <alignment horizontal="left" vertical="center" wrapText="1"/>
    </xf>
    <xf numFmtId="0" fontId="18" fillId="6" borderId="28" xfId="3" applyFont="1" applyFill="1" applyBorder="1" applyAlignment="1">
      <alignment horizontal="center" vertical="center" wrapText="1"/>
    </xf>
    <xf numFmtId="0" fontId="9" fillId="0" borderId="0" xfId="3" applyFont="1" applyAlignment="1">
      <alignment horizontal="center" vertical="center"/>
    </xf>
    <xf numFmtId="0" fontId="9" fillId="0" borderId="6" xfId="3" applyFont="1" applyBorder="1" applyAlignment="1">
      <alignment horizontal="left" vertical="center"/>
    </xf>
    <xf numFmtId="0" fontId="8" fillId="0" borderId="9" xfId="3" applyFont="1" applyBorder="1" applyAlignment="1">
      <alignment vertical="center"/>
    </xf>
    <xf numFmtId="0" fontId="8" fillId="0" borderId="9" xfId="3" applyFont="1" applyBorder="1" applyAlignment="1">
      <alignment horizontal="center" vertical="center"/>
    </xf>
    <xf numFmtId="49" fontId="8" fillId="0" borderId="9" xfId="3" applyNumberFormat="1" applyFont="1" applyBorder="1" applyAlignment="1">
      <alignment horizontal="center" vertical="center"/>
    </xf>
    <xf numFmtId="0" fontId="8" fillId="0" borderId="9" xfId="3" applyFont="1" applyBorder="1" applyAlignment="1">
      <alignment vertical="center" wrapText="1"/>
    </xf>
    <xf numFmtId="0" fontId="10" fillId="0" borderId="9" xfId="3" applyFont="1" applyBorder="1" applyAlignment="1">
      <alignment vertical="center" wrapText="1"/>
    </xf>
    <xf numFmtId="0" fontId="4" fillId="0" borderId="0" xfId="3" applyFont="1"/>
    <xf numFmtId="0" fontId="8" fillId="0" borderId="28" xfId="3" applyFont="1" applyBorder="1" applyAlignment="1">
      <alignment vertical="center"/>
    </xf>
    <xf numFmtId="0" fontId="8" fillId="0" borderId="28" xfId="3" applyFont="1" applyBorder="1" applyAlignment="1">
      <alignment horizontal="center" vertical="center"/>
    </xf>
    <xf numFmtId="49" fontId="8" fillId="0" borderId="28" xfId="3" applyNumberFormat="1" applyFont="1" applyBorder="1" applyAlignment="1">
      <alignment horizontal="center" vertical="center"/>
    </xf>
    <xf numFmtId="49" fontId="8" fillId="0" borderId="28" xfId="3" quotePrefix="1" applyNumberFormat="1" applyFont="1" applyBorder="1" applyAlignment="1">
      <alignment horizontal="center" vertical="center"/>
    </xf>
    <xf numFmtId="0" fontId="9" fillId="0" borderId="38" xfId="3" applyFont="1" applyBorder="1"/>
    <xf numFmtId="0" fontId="8" fillId="0" borderId="45" xfId="3" applyFont="1" applyBorder="1" applyAlignment="1">
      <alignment horizontal="left"/>
    </xf>
    <xf numFmtId="0" fontId="8" fillId="0" borderId="45" xfId="3" applyFont="1" applyBorder="1" applyAlignment="1">
      <alignment horizontal="center"/>
    </xf>
    <xf numFmtId="49" fontId="8" fillId="0" borderId="45" xfId="3" applyNumberFormat="1" applyFont="1" applyBorder="1" applyAlignment="1">
      <alignment horizontal="center"/>
    </xf>
    <xf numFmtId="0" fontId="8" fillId="0" borderId="39" xfId="3" applyFont="1" applyBorder="1" applyAlignment="1">
      <alignment wrapText="1"/>
    </xf>
    <xf numFmtId="0" fontId="10" fillId="0" borderId="8" xfId="3" applyFont="1" applyBorder="1" applyAlignment="1">
      <alignment vertical="center" wrapText="1"/>
    </xf>
    <xf numFmtId="0" fontId="10" fillId="0" borderId="9" xfId="3" quotePrefix="1" applyFont="1" applyBorder="1" applyAlignment="1">
      <alignment vertical="center" wrapText="1"/>
    </xf>
    <xf numFmtId="0" fontId="8" fillId="0" borderId="45" xfId="3" applyFont="1" applyBorder="1" applyAlignment="1">
      <alignment vertical="center"/>
    </xf>
    <xf numFmtId="0" fontId="8" fillId="0" borderId="45" xfId="3" applyFont="1" applyBorder="1" applyAlignment="1">
      <alignment horizontal="center" vertical="center"/>
    </xf>
    <xf numFmtId="49" fontId="8" fillId="0" borderId="45" xfId="3" applyNumberFormat="1" applyFont="1" applyBorder="1" applyAlignment="1">
      <alignment horizontal="center" vertical="center"/>
    </xf>
    <xf numFmtId="0" fontId="10" fillId="0" borderId="45" xfId="3" applyFont="1" applyBorder="1" applyAlignment="1">
      <alignment vertical="center" wrapText="1"/>
    </xf>
    <xf numFmtId="0" fontId="8" fillId="0" borderId="31" xfId="3" applyFont="1" applyBorder="1" applyAlignment="1">
      <alignment vertical="center"/>
    </xf>
    <xf numFmtId="0" fontId="8" fillId="0" borderId="31" xfId="3" applyFont="1" applyBorder="1" applyAlignment="1">
      <alignment horizontal="center" vertical="center"/>
    </xf>
    <xf numFmtId="49" fontId="8" fillId="0" borderId="31" xfId="3" applyNumberFormat="1" applyFont="1" applyBorder="1" applyAlignment="1">
      <alignment horizontal="center" vertical="center"/>
    </xf>
    <xf numFmtId="0" fontId="10" fillId="0" borderId="31" xfId="3" applyFont="1" applyBorder="1" applyAlignment="1">
      <alignment vertical="center" wrapText="1"/>
    </xf>
    <xf numFmtId="0" fontId="8" fillId="0" borderId="31" xfId="3" applyFont="1" applyBorder="1" applyAlignment="1">
      <alignment horizontal="left" vertical="center"/>
    </xf>
    <xf numFmtId="49" fontId="8" fillId="0" borderId="31" xfId="3" quotePrefix="1" applyNumberFormat="1" applyFont="1" applyBorder="1" applyAlignment="1">
      <alignment horizontal="center" vertical="center"/>
    </xf>
    <xf numFmtId="0" fontId="8" fillId="0" borderId="31" xfId="3" applyFont="1" applyBorder="1" applyAlignment="1">
      <alignment vertical="center" wrapText="1"/>
    </xf>
    <xf numFmtId="0" fontId="8" fillId="0" borderId="28" xfId="3" applyFont="1" applyBorder="1" applyAlignment="1">
      <alignment horizontal="left" vertical="center"/>
    </xf>
    <xf numFmtId="0" fontId="4" fillId="0" borderId="28" xfId="3" applyFont="1" applyBorder="1" applyAlignment="1">
      <alignment vertical="center" wrapText="1"/>
    </xf>
    <xf numFmtId="0" fontId="10" fillId="0" borderId="28" xfId="3" applyFont="1" applyBorder="1"/>
    <xf numFmtId="0" fontId="8" fillId="0" borderId="29" xfId="3" applyFont="1" applyBorder="1" applyAlignment="1">
      <alignment horizontal="left" vertical="center"/>
    </xf>
    <xf numFmtId="0" fontId="8" fillId="0" borderId="29" xfId="3" applyFont="1" applyBorder="1" applyAlignment="1">
      <alignment vertical="center"/>
    </xf>
    <xf numFmtId="0" fontId="8" fillId="0" borderId="29" xfId="3" applyFont="1" applyBorder="1" applyAlignment="1">
      <alignment horizontal="center" vertical="center"/>
    </xf>
    <xf numFmtId="49" fontId="8" fillId="0" borderId="29" xfId="3" applyNumberFormat="1" applyFont="1" applyBorder="1" applyAlignment="1">
      <alignment horizontal="center" vertical="center"/>
    </xf>
    <xf numFmtId="0" fontId="8" fillId="0" borderId="29" xfId="3" applyFont="1" applyBorder="1" applyAlignment="1">
      <alignment vertical="center" wrapText="1"/>
    </xf>
    <xf numFmtId="0" fontId="10" fillId="0" borderId="29" xfId="3" applyFont="1" applyBorder="1" applyAlignment="1">
      <alignment vertical="center" wrapText="1"/>
    </xf>
    <xf numFmtId="0" fontId="10" fillId="0" borderId="0" xfId="3" applyFont="1"/>
    <xf numFmtId="0" fontId="10" fillId="0" borderId="0" xfId="3" applyFont="1" applyAlignment="1">
      <alignment wrapText="1"/>
    </xf>
    <xf numFmtId="0" fontId="4" fillId="0" borderId="0" xfId="3" applyFont="1" applyAlignment="1">
      <alignment wrapText="1"/>
    </xf>
    <xf numFmtId="0" fontId="19" fillId="0" borderId="0" xfId="3" applyFont="1"/>
    <xf numFmtId="0" fontId="4" fillId="10" borderId="0" xfId="3" applyFont="1" applyFill="1" applyAlignment="1">
      <alignment wrapText="1"/>
    </xf>
    <xf numFmtId="0" fontId="9" fillId="0" borderId="38" xfId="3" applyFont="1" applyBorder="1" applyAlignment="1">
      <alignment horizontal="left" vertical="center"/>
    </xf>
    <xf numFmtId="0" fontId="8" fillId="0" borderId="45" xfId="3" applyFont="1" applyBorder="1" applyAlignment="1">
      <alignment horizontal="left" vertical="center"/>
    </xf>
    <xf numFmtId="0" fontId="8" fillId="0" borderId="28" xfId="3" quotePrefix="1" applyFont="1" applyBorder="1" applyAlignment="1">
      <alignment horizontal="center" vertical="center"/>
    </xf>
    <xf numFmtId="16" fontId="8" fillId="0" borderId="28" xfId="3" quotePrefix="1" applyNumberFormat="1" applyFont="1" applyBorder="1" applyAlignment="1">
      <alignment horizontal="center" vertical="center"/>
    </xf>
    <xf numFmtId="0" fontId="8" fillId="0" borderId="9" xfId="3" applyFont="1" applyBorder="1" applyAlignment="1">
      <alignment horizontal="left" vertical="center"/>
    </xf>
    <xf numFmtId="0" fontId="10" fillId="0" borderId="0" xfId="3" applyFont="1" applyAlignment="1">
      <alignment horizontal="center"/>
    </xf>
    <xf numFmtId="0" fontId="4" fillId="0" borderId="0" xfId="3" applyFont="1" applyAlignment="1">
      <alignment horizontal="center"/>
    </xf>
    <xf numFmtId="0" fontId="5" fillId="4" borderId="42" xfId="2" applyFont="1" applyFill="1" applyBorder="1" applyAlignment="1">
      <alignment horizontal="center" vertical="center" wrapText="1"/>
    </xf>
    <xf numFmtId="0" fontId="8" fillId="9" borderId="55" xfId="3" applyFont="1" applyFill="1" applyBorder="1" applyAlignment="1" applyProtection="1">
      <alignment vertical="center" wrapText="1"/>
      <protection locked="0"/>
    </xf>
    <xf numFmtId="2" fontId="8" fillId="9" borderId="56" xfId="3" applyNumberFormat="1" applyFont="1" applyFill="1" applyBorder="1" applyAlignment="1" applyProtection="1">
      <alignment horizontal="center" vertical="center"/>
      <protection locked="0"/>
    </xf>
    <xf numFmtId="0" fontId="8" fillId="9" borderId="56" xfId="3" quotePrefix="1" applyFont="1" applyFill="1" applyBorder="1" applyAlignment="1" applyProtection="1">
      <alignment horizontal="center" vertical="center"/>
      <protection locked="0"/>
    </xf>
    <xf numFmtId="2" fontId="8" fillId="0" borderId="57" xfId="3" applyNumberFormat="1" applyFont="1" applyBorder="1" applyAlignment="1">
      <alignment horizontal="center" vertical="center"/>
    </xf>
    <xf numFmtId="0" fontId="8" fillId="9" borderId="58" xfId="3" applyFont="1" applyFill="1" applyBorder="1" applyAlignment="1" applyProtection="1">
      <alignment vertical="center" wrapText="1"/>
      <protection locked="0"/>
    </xf>
    <xf numFmtId="0" fontId="8" fillId="9" borderId="59" xfId="3" applyFont="1" applyFill="1" applyBorder="1" applyAlignment="1" applyProtection="1">
      <alignment vertical="center" wrapText="1"/>
      <protection locked="0"/>
    </xf>
    <xf numFmtId="0" fontId="8" fillId="9" borderId="60" xfId="3" quotePrefix="1" applyFont="1" applyFill="1" applyBorder="1" applyAlignment="1" applyProtection="1">
      <alignment horizontal="center" vertical="center"/>
      <protection locked="0"/>
    </xf>
    <xf numFmtId="2" fontId="8" fillId="0" borderId="61" xfId="3" applyNumberFormat="1" applyFont="1" applyBorder="1" applyAlignment="1">
      <alignment horizontal="center" vertical="center"/>
    </xf>
    <xf numFmtId="2" fontId="8" fillId="9" borderId="12" xfId="2" applyNumberFormat="1" applyFont="1" applyFill="1" applyBorder="1" applyAlignment="1" applyProtection="1">
      <alignment horizontal="center" vertical="center" wrapText="1"/>
      <protection locked="0"/>
    </xf>
    <xf numFmtId="165" fontId="8" fillId="0" borderId="56" xfId="2" applyNumberFormat="1" applyFont="1" applyBorder="1" applyAlignment="1">
      <alignment horizontal="center" vertical="center" wrapText="1"/>
    </xf>
    <xf numFmtId="2" fontId="8" fillId="9" borderId="63" xfId="3" applyNumberFormat="1" applyFont="1" applyFill="1" applyBorder="1" applyAlignment="1" applyProtection="1">
      <alignment horizontal="center" vertical="center"/>
      <protection locked="0"/>
    </xf>
    <xf numFmtId="0" fontId="8" fillId="9" borderId="63" xfId="3" quotePrefix="1" applyFont="1" applyFill="1" applyBorder="1" applyAlignment="1" applyProtection="1">
      <alignment horizontal="center" vertical="center"/>
      <protection locked="0"/>
    </xf>
    <xf numFmtId="2" fontId="8" fillId="0" borderId="64" xfId="3" applyNumberFormat="1" applyFont="1" applyBorder="1" applyAlignment="1">
      <alignment horizontal="center" vertical="center"/>
    </xf>
    <xf numFmtId="165" fontId="8" fillId="0" borderId="65" xfId="2" applyNumberFormat="1" applyFont="1" applyBorder="1" applyAlignment="1">
      <alignment horizontal="center" vertical="center" wrapText="1"/>
    </xf>
    <xf numFmtId="0" fontId="15" fillId="4" borderId="54" xfId="2" applyFont="1" applyFill="1" applyBorder="1" applyAlignment="1">
      <alignment horizontal="center" vertical="center" wrapText="1"/>
    </xf>
    <xf numFmtId="2" fontId="8" fillId="9" borderId="16" xfId="2" applyNumberFormat="1" applyFont="1" applyFill="1" applyBorder="1" applyAlignment="1">
      <alignment horizontal="center" vertical="center" wrapText="1"/>
    </xf>
    <xf numFmtId="0" fontId="21" fillId="0" borderId="0" xfId="0" applyFont="1"/>
    <xf numFmtId="2" fontId="8" fillId="9" borderId="21" xfId="2" applyNumberFormat="1" applyFont="1" applyFill="1" applyBorder="1" applyAlignment="1">
      <alignment horizontal="center" vertical="center" wrapText="1"/>
    </xf>
    <xf numFmtId="0" fontId="10" fillId="0" borderId="0" xfId="1" applyFont="1" applyAlignment="1">
      <alignment horizontal="left" wrapText="1"/>
    </xf>
    <xf numFmtId="2" fontId="0" fillId="11" borderId="50" xfId="0" applyNumberFormat="1" applyFill="1" applyBorder="1" applyAlignment="1">
      <alignment horizontal="center" vertical="center"/>
    </xf>
    <xf numFmtId="0" fontId="0" fillId="0" borderId="0" xfId="0" applyAlignment="1">
      <alignment horizontal="center" vertical="center"/>
    </xf>
    <xf numFmtId="0" fontId="10" fillId="0" borderId="0" xfId="0" applyFont="1"/>
    <xf numFmtId="0" fontId="0" fillId="0" borderId="7" xfId="0" applyBorder="1"/>
    <xf numFmtId="0" fontId="0" fillId="0" borderId="66" xfId="0" applyBorder="1"/>
    <xf numFmtId="0" fontId="0" fillId="0" borderId="69" xfId="0" applyBorder="1"/>
    <xf numFmtId="0" fontId="0" fillId="0" borderId="67" xfId="0" applyBorder="1"/>
    <xf numFmtId="0" fontId="0" fillId="0" borderId="68" xfId="0" applyBorder="1"/>
    <xf numFmtId="0" fontId="0" fillId="0" borderId="0" xfId="0" applyAlignment="1">
      <alignment vertical="center"/>
    </xf>
    <xf numFmtId="0" fontId="0" fillId="0" borderId="7" xfId="0" applyBorder="1" applyAlignment="1">
      <alignment horizontal="center" vertical="center" wrapText="1"/>
    </xf>
    <xf numFmtId="0" fontId="0" fillId="0" borderId="0" xfId="0" applyAlignment="1">
      <alignment horizontal="center" vertical="center" wrapText="1"/>
    </xf>
    <xf numFmtId="0" fontId="0" fillId="0" borderId="66" xfId="0" applyBorder="1" applyAlignment="1">
      <alignment horizontal="center" vertical="center" wrapText="1"/>
    </xf>
    <xf numFmtId="0" fontId="0" fillId="0" borderId="0" xfId="0" applyAlignment="1">
      <alignment horizontal="center" wrapText="1"/>
    </xf>
    <xf numFmtId="0" fontId="0" fillId="0" borderId="7" xfId="0" applyBorder="1" applyAlignment="1">
      <alignment vertical="center"/>
    </xf>
    <xf numFmtId="0" fontId="0" fillId="0" borderId="66" xfId="0" applyBorder="1" applyAlignment="1">
      <alignment vertical="center"/>
    </xf>
    <xf numFmtId="0" fontId="0" fillId="0" borderId="0" xfId="0" applyAlignment="1">
      <alignment wrapText="1"/>
    </xf>
    <xf numFmtId="0" fontId="26" fillId="0" borderId="0" xfId="5" applyBorder="1" applyProtection="1"/>
    <xf numFmtId="0" fontId="0" fillId="0" borderId="0" xfId="0" applyAlignment="1">
      <alignment horizontal="right"/>
    </xf>
    <xf numFmtId="0" fontId="8" fillId="0" borderId="3" xfId="0" applyFont="1" applyBorder="1" applyAlignment="1">
      <alignment vertical="center"/>
    </xf>
    <xf numFmtId="0" fontId="8" fillId="0" borderId="0" xfId="3" applyFont="1" applyAlignment="1">
      <alignment vertical="center" wrapText="1"/>
    </xf>
    <xf numFmtId="0" fontId="0" fillId="14" borderId="1" xfId="0" applyFill="1" applyBorder="1"/>
    <xf numFmtId="0" fontId="0" fillId="14" borderId="1" xfId="0" applyFill="1" applyBorder="1" applyAlignment="1">
      <alignment horizontal="center" wrapText="1"/>
    </xf>
    <xf numFmtId="0" fontId="0" fillId="14" borderId="1" xfId="0" applyFill="1" applyBorder="1" applyAlignment="1">
      <alignment horizontal="center"/>
    </xf>
    <xf numFmtId="0" fontId="6" fillId="0" borderId="0" xfId="2" applyFont="1" applyAlignment="1">
      <alignment horizontal="center" vertical="center" wrapText="1"/>
    </xf>
    <xf numFmtId="165" fontId="0" fillId="0" borderId="7" xfId="0" applyNumberFormat="1" applyBorder="1" applyAlignment="1">
      <alignment horizontal="center" vertical="center"/>
    </xf>
    <xf numFmtId="0" fontId="0" fillId="14" borderId="3" xfId="0" applyFill="1" applyBorder="1" applyAlignment="1">
      <alignment horizontal="center"/>
    </xf>
    <xf numFmtId="0" fontId="10" fillId="0" borderId="7" xfId="0" applyFont="1" applyBorder="1"/>
    <xf numFmtId="0" fontId="34" fillId="5" borderId="1" xfId="0" applyFont="1" applyFill="1" applyBorder="1" applyAlignment="1" applyProtection="1">
      <alignment horizontal="center" vertical="center"/>
      <protection locked="0"/>
    </xf>
    <xf numFmtId="0" fontId="8" fillId="0" borderId="40" xfId="3" applyFont="1" applyBorder="1" applyAlignment="1">
      <alignment horizontal="left" vertical="center" wrapText="1"/>
    </xf>
    <xf numFmtId="0" fontId="0" fillId="14" borderId="28" xfId="0" applyFill="1" applyBorder="1"/>
    <xf numFmtId="0" fontId="0" fillId="0" borderId="28" xfId="0" applyBorder="1"/>
    <xf numFmtId="165" fontId="0" fillId="14" borderId="1" xfId="0" applyNumberFormat="1" applyFill="1" applyBorder="1" applyAlignment="1">
      <alignment horizontal="center" vertical="center"/>
    </xf>
    <xf numFmtId="0" fontId="5" fillId="5" borderId="4" xfId="1" applyFont="1" applyFill="1" applyBorder="1" applyAlignment="1">
      <alignment vertical="center" wrapText="1"/>
    </xf>
    <xf numFmtId="0" fontId="5" fillId="5" borderId="2" xfId="1" applyFont="1" applyFill="1" applyBorder="1" applyAlignment="1">
      <alignment vertical="center" wrapText="1"/>
    </xf>
    <xf numFmtId="0" fontId="7" fillId="4" borderId="6" xfId="2" applyFont="1" applyFill="1" applyBorder="1" applyAlignment="1">
      <alignment horizontal="center" vertical="center" wrapText="1"/>
    </xf>
    <xf numFmtId="0" fontId="35" fillId="4" borderId="50" xfId="2" applyFont="1" applyFill="1" applyBorder="1" applyAlignment="1">
      <alignment horizontal="center" vertical="center" wrapText="1"/>
    </xf>
    <xf numFmtId="0" fontId="35" fillId="4" borderId="76" xfId="2" applyFont="1" applyFill="1" applyBorder="1" applyAlignment="1">
      <alignment horizontal="center" vertical="center" wrapText="1"/>
    </xf>
    <xf numFmtId="0" fontId="8" fillId="9" borderId="80" xfId="3" applyFont="1" applyFill="1" applyBorder="1" applyAlignment="1" applyProtection="1">
      <alignment vertical="center" wrapText="1"/>
      <protection locked="0"/>
    </xf>
    <xf numFmtId="0" fontId="0" fillId="14" borderId="81" xfId="0" applyFill="1" applyBorder="1"/>
    <xf numFmtId="0" fontId="8" fillId="9" borderId="78" xfId="3" applyFont="1" applyFill="1" applyBorder="1" applyAlignment="1" applyProtection="1">
      <alignment vertical="center" wrapText="1"/>
      <protection locked="0"/>
    </xf>
    <xf numFmtId="0" fontId="8" fillId="9" borderId="77" xfId="3" applyFont="1" applyFill="1" applyBorder="1" applyAlignment="1" applyProtection="1">
      <alignment vertical="center" wrapText="1"/>
      <protection locked="0"/>
    </xf>
    <xf numFmtId="0" fontId="34" fillId="5" borderId="81" xfId="0" applyFont="1" applyFill="1" applyBorder="1" applyAlignment="1" applyProtection="1">
      <alignment horizontal="center" vertical="center"/>
      <protection locked="0"/>
    </xf>
    <xf numFmtId="0" fontId="5" fillId="4" borderId="9" xfId="2" applyFont="1" applyFill="1" applyBorder="1" applyAlignment="1">
      <alignment horizontal="center" vertical="center" wrapText="1"/>
    </xf>
    <xf numFmtId="0" fontId="0" fillId="14" borderId="38" xfId="0" applyFill="1" applyBorder="1"/>
    <xf numFmtId="0" fontId="0" fillId="14" borderId="1" xfId="0" applyFill="1" applyBorder="1" applyAlignment="1">
      <alignment wrapText="1"/>
    </xf>
    <xf numFmtId="2" fontId="0" fillId="0" borderId="0" xfId="0" applyNumberFormat="1"/>
    <xf numFmtId="0" fontId="8" fillId="8" borderId="28" xfId="0" applyFont="1" applyFill="1" applyBorder="1" applyAlignment="1">
      <alignment horizontal="center" vertical="center"/>
    </xf>
    <xf numFmtId="0" fontId="10" fillId="0" borderId="28" xfId="0" applyFont="1" applyBorder="1" applyAlignment="1">
      <alignment vertical="center" wrapText="1"/>
    </xf>
    <xf numFmtId="49" fontId="8" fillId="8" borderId="28" xfId="0" applyNumberFormat="1" applyFont="1" applyFill="1" applyBorder="1" applyAlignment="1">
      <alignment horizontal="center" vertical="center"/>
    </xf>
    <xf numFmtId="0" fontId="8" fillId="8" borderId="28" xfId="3" applyFont="1" applyFill="1" applyBorder="1" applyAlignment="1">
      <alignment horizontal="center" vertical="center"/>
    </xf>
    <xf numFmtId="0" fontId="0" fillId="0" borderId="28" xfId="0" applyBorder="1" applyAlignment="1">
      <alignment vertical="center" wrapText="1"/>
    </xf>
    <xf numFmtId="0" fontId="8" fillId="5" borderId="28" xfId="3" applyFont="1" applyFill="1" applyBorder="1" applyAlignment="1">
      <alignment vertical="center" wrapText="1"/>
    </xf>
    <xf numFmtId="0" fontId="8" fillId="0" borderId="0" xfId="3" quotePrefix="1" applyFont="1" applyAlignment="1" applyProtection="1">
      <alignment horizontal="center" vertical="center"/>
      <protection locked="0"/>
    </xf>
    <xf numFmtId="0" fontId="23" fillId="15" borderId="28" xfId="0" applyFont="1" applyFill="1" applyBorder="1" applyAlignment="1" applyProtection="1">
      <alignment horizontal="center" vertical="center"/>
      <protection locked="0"/>
    </xf>
    <xf numFmtId="2" fontId="8" fillId="15" borderId="34" xfId="2" applyNumberFormat="1" applyFont="1" applyFill="1" applyBorder="1" applyAlignment="1" applyProtection="1">
      <alignment horizontal="center" vertical="center" wrapText="1"/>
      <protection locked="0"/>
    </xf>
    <xf numFmtId="0" fontId="0" fillId="15" borderId="28" xfId="0" applyFill="1" applyBorder="1" applyAlignment="1" applyProtection="1">
      <alignment horizontal="center" vertical="center"/>
      <protection locked="0"/>
    </xf>
    <xf numFmtId="0" fontId="8" fillId="9" borderId="40" xfId="3" applyFont="1" applyFill="1" applyBorder="1" applyAlignment="1">
      <alignment horizontal="left" vertical="center" wrapText="1"/>
    </xf>
    <xf numFmtId="0" fontId="0" fillId="9" borderId="28" xfId="0" applyFill="1" applyBorder="1"/>
    <xf numFmtId="0" fontId="20" fillId="0" borderId="3" xfId="0" applyFont="1" applyBorder="1" applyAlignment="1">
      <alignment horizontal="center" vertical="center"/>
    </xf>
    <xf numFmtId="10" fontId="0" fillId="0" borderId="0" xfId="0" applyNumberFormat="1"/>
    <xf numFmtId="0" fontId="0" fillId="15" borderId="28" xfId="0" applyFill="1" applyBorder="1" applyProtection="1">
      <protection locked="0"/>
    </xf>
    <xf numFmtId="0" fontId="20" fillId="0" borderId="2" xfId="0" applyFont="1" applyBorder="1" applyAlignment="1">
      <alignment horizontal="center" vertical="center"/>
    </xf>
    <xf numFmtId="0" fontId="40" fillId="0" borderId="3" xfId="0" applyFont="1" applyBorder="1" applyAlignment="1">
      <alignment horizontal="center" vertical="center"/>
    </xf>
    <xf numFmtId="0" fontId="41" fillId="0" borderId="2" xfId="0" applyFont="1" applyBorder="1" applyAlignment="1">
      <alignment horizontal="center" vertical="center"/>
    </xf>
    <xf numFmtId="2" fontId="5" fillId="6" borderId="28" xfId="3" applyNumberFormat="1" applyFont="1" applyFill="1" applyBorder="1" applyAlignment="1">
      <alignment horizontal="center" vertical="center"/>
    </xf>
    <xf numFmtId="164" fontId="20" fillId="0" borderId="28" xfId="0" applyNumberFormat="1" applyFont="1" applyBorder="1" applyAlignment="1">
      <alignment horizontal="center" vertical="center"/>
    </xf>
    <xf numFmtId="0" fontId="0" fillId="0" borderId="28" xfId="0" applyBorder="1" applyAlignment="1">
      <alignment vertical="center"/>
    </xf>
    <xf numFmtId="0" fontId="0" fillId="0" borderId="0" xfId="0" applyAlignment="1">
      <alignment horizontal="center"/>
    </xf>
    <xf numFmtId="0" fontId="0" fillId="0" borderId="43" xfId="0" applyBorder="1"/>
    <xf numFmtId="0" fontId="0" fillId="0" borderId="44" xfId="0" applyBorder="1"/>
    <xf numFmtId="0" fontId="0" fillId="0" borderId="3" xfId="0" applyBorder="1"/>
    <xf numFmtId="0" fontId="0" fillId="0" borderId="2" xfId="0" applyBorder="1"/>
    <xf numFmtId="167" fontId="0" fillId="0" borderId="1" xfId="0" applyNumberFormat="1" applyBorder="1" applyAlignment="1">
      <alignment horizontal="center" vertical="center"/>
    </xf>
    <xf numFmtId="0" fontId="7" fillId="4" borderId="16" xfId="2" applyFont="1" applyFill="1" applyBorder="1" applyAlignment="1">
      <alignment horizontal="center" vertical="center" wrapText="1"/>
    </xf>
    <xf numFmtId="0" fontId="0" fillId="0" borderId="7" xfId="0" applyBorder="1" applyAlignment="1">
      <alignment vertical="center" wrapText="1"/>
    </xf>
    <xf numFmtId="0" fontId="0" fillId="0" borderId="0" xfId="0" applyAlignment="1">
      <alignment vertical="center" wrapText="1"/>
    </xf>
    <xf numFmtId="0" fontId="44" fillId="4" borderId="1" xfId="2" applyFont="1" applyFill="1" applyBorder="1" applyAlignment="1">
      <alignment horizontal="center" vertical="center" wrapText="1"/>
    </xf>
    <xf numFmtId="0" fontId="44" fillId="4" borderId="40" xfId="2" applyFont="1" applyFill="1" applyBorder="1" applyAlignment="1">
      <alignment horizontal="center" vertical="center" wrapText="1"/>
    </xf>
    <xf numFmtId="0" fontId="0" fillId="0" borderId="2" xfId="0" applyBorder="1" applyAlignment="1">
      <alignment horizontal="center"/>
    </xf>
    <xf numFmtId="0" fontId="44" fillId="4" borderId="32" xfId="2" applyFont="1" applyFill="1" applyBorder="1" applyAlignment="1">
      <alignment horizontal="center" vertical="center" wrapText="1"/>
    </xf>
    <xf numFmtId="0" fontId="44" fillId="4" borderId="35" xfId="2" applyFont="1" applyFill="1" applyBorder="1" applyAlignment="1">
      <alignment horizontal="center" vertical="center" wrapText="1"/>
    </xf>
    <xf numFmtId="0" fontId="44" fillId="4" borderId="33" xfId="2" applyFont="1" applyFill="1" applyBorder="1" applyAlignment="1">
      <alignment horizontal="center" vertical="center" wrapText="1"/>
    </xf>
    <xf numFmtId="0" fontId="44" fillId="4" borderId="36" xfId="2" applyFont="1" applyFill="1" applyBorder="1" applyAlignment="1">
      <alignment horizontal="center" vertical="center" wrapText="1"/>
    </xf>
    <xf numFmtId="165" fontId="0" fillId="0" borderId="1" xfId="0" applyNumberFormat="1" applyBorder="1" applyAlignment="1">
      <alignment horizontal="center" vertical="center"/>
    </xf>
    <xf numFmtId="10" fontId="0" fillId="0" borderId="1" xfId="0" applyNumberFormat="1" applyBorder="1"/>
    <xf numFmtId="2" fontId="8" fillId="15" borderId="12" xfId="2" applyNumberFormat="1" applyFont="1" applyFill="1" applyBorder="1" applyAlignment="1" applyProtection="1">
      <alignment horizontal="center" vertical="center" wrapText="1"/>
      <protection locked="0"/>
    </xf>
    <xf numFmtId="2" fontId="8" fillId="15" borderId="92" xfId="2" applyNumberFormat="1" applyFont="1" applyFill="1" applyBorder="1" applyAlignment="1" applyProtection="1">
      <alignment horizontal="center" vertical="center" wrapText="1"/>
      <protection locked="0"/>
    </xf>
    <xf numFmtId="2" fontId="8" fillId="15" borderId="93" xfId="2" applyNumberFormat="1" applyFont="1" applyFill="1" applyBorder="1" applyAlignment="1" applyProtection="1">
      <alignment horizontal="center" vertical="center" wrapText="1"/>
      <protection locked="0"/>
    </xf>
    <xf numFmtId="2" fontId="8" fillId="15" borderId="94" xfId="2" applyNumberFormat="1" applyFont="1" applyFill="1" applyBorder="1" applyAlignment="1" applyProtection="1">
      <alignment horizontal="center" vertical="center" wrapText="1"/>
      <protection locked="0"/>
    </xf>
    <xf numFmtId="2" fontId="8" fillId="9" borderId="96" xfId="2" applyNumberFormat="1" applyFont="1" applyFill="1" applyBorder="1" applyAlignment="1" applyProtection="1">
      <alignment horizontal="center" vertical="center" wrapText="1"/>
      <protection locked="0"/>
    </xf>
    <xf numFmtId="2" fontId="8" fillId="9" borderId="95" xfId="2" applyNumberFormat="1" applyFont="1" applyFill="1" applyBorder="1" applyAlignment="1" applyProtection="1">
      <alignment horizontal="center" vertical="center" wrapText="1"/>
      <protection locked="0"/>
    </xf>
    <xf numFmtId="2" fontId="8" fillId="15" borderId="95" xfId="2" applyNumberFormat="1" applyFont="1" applyFill="1" applyBorder="1" applyAlignment="1" applyProtection="1">
      <alignment horizontal="center" vertical="center" wrapText="1"/>
      <protection locked="0"/>
    </xf>
    <xf numFmtId="0" fontId="8" fillId="8" borderId="9" xfId="3" applyFont="1" applyFill="1" applyBorder="1" applyAlignment="1">
      <alignment horizontal="center" vertical="center"/>
    </xf>
    <xf numFmtId="2" fontId="8" fillId="0" borderId="28" xfId="0" applyNumberFormat="1" applyFont="1" applyBorder="1" applyAlignment="1">
      <alignment horizontal="center" vertical="center"/>
    </xf>
    <xf numFmtId="2" fontId="8" fillId="9" borderId="60" xfId="3" applyNumberFormat="1" applyFont="1" applyFill="1" applyBorder="1" applyAlignment="1" applyProtection="1">
      <alignment horizontal="center" vertical="center" wrapText="1"/>
      <protection locked="0"/>
    </xf>
    <xf numFmtId="2" fontId="8" fillId="9" borderId="97" xfId="2" applyNumberFormat="1" applyFont="1" applyFill="1" applyBorder="1" applyAlignment="1" applyProtection="1">
      <alignment horizontal="center" vertical="center" wrapText="1"/>
      <protection locked="0"/>
    </xf>
    <xf numFmtId="0" fontId="0" fillId="0" borderId="8" xfId="0" applyBorder="1"/>
    <xf numFmtId="0" fontId="44" fillId="4" borderId="8" xfId="2" applyFont="1" applyFill="1" applyBorder="1" applyAlignment="1">
      <alignment horizontal="center" vertical="center" wrapText="1"/>
    </xf>
    <xf numFmtId="0" fontId="47" fillId="4" borderId="8" xfId="2" applyFont="1" applyFill="1" applyBorder="1" applyAlignment="1">
      <alignment horizontal="center" vertical="center" wrapText="1"/>
    </xf>
    <xf numFmtId="0" fontId="47" fillId="4" borderId="6" xfId="2" applyFont="1" applyFill="1" applyBorder="1" applyAlignment="1">
      <alignment horizontal="center" vertical="center" wrapText="1"/>
    </xf>
    <xf numFmtId="0" fontId="44" fillId="4" borderId="10" xfId="2" applyFont="1" applyFill="1" applyBorder="1" applyAlignment="1">
      <alignment horizontal="center" vertical="center" wrapText="1"/>
    </xf>
    <xf numFmtId="0" fontId="44" fillId="4" borderId="11" xfId="2" applyFont="1" applyFill="1" applyBorder="1" applyAlignment="1">
      <alignment horizontal="center" vertical="center" wrapText="1"/>
    </xf>
    <xf numFmtId="0" fontId="44" fillId="4" borderId="74" xfId="2" applyFont="1" applyFill="1" applyBorder="1" applyAlignment="1">
      <alignment horizontal="center" vertical="center" wrapText="1"/>
    </xf>
    <xf numFmtId="0" fontId="44" fillId="4" borderId="75" xfId="2" applyFont="1" applyFill="1" applyBorder="1" applyAlignment="1">
      <alignment horizontal="center" vertical="center" wrapText="1"/>
    </xf>
    <xf numFmtId="0" fontId="47" fillId="4" borderId="10" xfId="2" applyFont="1" applyFill="1" applyBorder="1" applyAlignment="1">
      <alignment horizontal="center" vertical="center" wrapText="1"/>
    </xf>
    <xf numFmtId="0" fontId="5" fillId="5" borderId="3" xfId="1" applyFont="1" applyFill="1" applyBorder="1" applyAlignment="1">
      <alignment vertical="center" wrapText="1"/>
    </xf>
    <xf numFmtId="49" fontId="8" fillId="8" borderId="28" xfId="3" applyNumberFormat="1" applyFont="1" applyFill="1" applyBorder="1" applyAlignment="1">
      <alignment horizontal="center" vertical="center" shrinkToFit="1"/>
    </xf>
    <xf numFmtId="2" fontId="0" fillId="0" borderId="0" xfId="0" applyNumberFormat="1" applyAlignment="1">
      <alignment horizontal="center" vertical="center"/>
    </xf>
    <xf numFmtId="168" fontId="15" fillId="4" borderId="75" xfId="2" applyNumberFormat="1" applyFont="1" applyFill="1" applyBorder="1" applyAlignment="1" applyProtection="1">
      <alignment horizontal="center" vertical="center" wrapText="1"/>
      <protection locked="0"/>
    </xf>
    <xf numFmtId="2" fontId="8" fillId="0" borderId="98" xfId="3" applyNumberFormat="1" applyFont="1" applyBorder="1" applyAlignment="1">
      <alignment horizontal="center" vertical="center"/>
    </xf>
    <xf numFmtId="0" fontId="0" fillId="14" borderId="2" xfId="0" applyFill="1" applyBorder="1" applyAlignment="1">
      <alignment horizontal="center" vertical="center"/>
    </xf>
    <xf numFmtId="0" fontId="9" fillId="16" borderId="1" xfId="2"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0" fillId="0" borderId="82" xfId="0" applyBorder="1" applyAlignment="1">
      <alignment horizontal="center" vertical="center"/>
    </xf>
    <xf numFmtId="0" fontId="0" fillId="0" borderId="1" xfId="0" applyBorder="1" applyAlignment="1">
      <alignment horizontal="center"/>
    </xf>
    <xf numFmtId="168" fontId="15" fillId="4" borderId="81" xfId="2" applyNumberFormat="1" applyFont="1" applyFill="1" applyBorder="1" applyAlignment="1" applyProtection="1">
      <alignment horizontal="center" vertical="center" wrapText="1"/>
      <protection locked="0"/>
    </xf>
    <xf numFmtId="2" fontId="8" fillId="0" borderId="79" xfId="2" applyNumberFormat="1" applyFont="1" applyBorder="1" applyAlignment="1">
      <alignment horizontal="center" vertical="center" wrapText="1"/>
    </xf>
    <xf numFmtId="2" fontId="8" fillId="0" borderId="36" xfId="2" applyNumberFormat="1" applyFont="1" applyBorder="1" applyAlignment="1">
      <alignment horizontal="center" vertical="center" wrapText="1"/>
    </xf>
    <xf numFmtId="2" fontId="8" fillId="0" borderId="88" xfId="2" applyNumberFormat="1" applyFont="1" applyBorder="1" applyAlignment="1">
      <alignment horizontal="center" vertical="center" wrapText="1"/>
    </xf>
    <xf numFmtId="2" fontId="8" fillId="0" borderId="89" xfId="2" applyNumberFormat="1" applyFont="1" applyBorder="1" applyAlignment="1">
      <alignment horizontal="center" vertical="center" wrapText="1"/>
    </xf>
    <xf numFmtId="2" fontId="8" fillId="0" borderId="90" xfId="2" applyNumberFormat="1" applyFont="1" applyBorder="1" applyAlignment="1">
      <alignment horizontal="center" vertical="center" wrapText="1"/>
    </xf>
    <xf numFmtId="2" fontId="8" fillId="0" borderId="49" xfId="2" applyNumberFormat="1" applyFont="1" applyBorder="1" applyAlignment="1">
      <alignment horizontal="center" vertical="center" wrapText="1"/>
    </xf>
    <xf numFmtId="2" fontId="8" fillId="0" borderId="91" xfId="2" applyNumberFormat="1" applyFont="1" applyBorder="1" applyAlignment="1">
      <alignment horizontal="center" vertical="center" wrapText="1"/>
    </xf>
    <xf numFmtId="2" fontId="8" fillId="0" borderId="62" xfId="2" applyNumberFormat="1" applyFont="1" applyBorder="1" applyAlignment="1">
      <alignment horizontal="center" vertical="center" wrapText="1"/>
    </xf>
    <xf numFmtId="165" fontId="23" fillId="15" borderId="2" xfId="0" applyNumberFormat="1" applyFont="1" applyFill="1" applyBorder="1" applyAlignment="1">
      <alignment horizontal="center" vertical="center"/>
    </xf>
    <xf numFmtId="166" fontId="0" fillId="11" borderId="50" xfId="0" applyNumberFormat="1" applyFill="1" applyBorder="1" applyAlignment="1">
      <alignment horizontal="center" vertical="center"/>
    </xf>
    <xf numFmtId="165" fontId="0" fillId="11" borderId="50" xfId="0" applyNumberFormat="1" applyFill="1" applyBorder="1" applyAlignment="1">
      <alignment horizontal="center" vertical="center"/>
    </xf>
    <xf numFmtId="165" fontId="0" fillId="15" borderId="2" xfId="0" applyNumberFormat="1" applyFill="1" applyBorder="1" applyAlignment="1">
      <alignment horizontal="center" vertical="center"/>
    </xf>
    <xf numFmtId="169" fontId="0" fillId="0" borderId="2" xfId="0" applyNumberFormat="1" applyBorder="1" applyAlignment="1">
      <alignment horizontal="center" vertical="center"/>
    </xf>
    <xf numFmtId="164" fontId="8" fillId="0" borderId="18" xfId="2" applyNumberFormat="1" applyFont="1" applyBorder="1" applyAlignment="1">
      <alignment horizontal="center" vertical="center" wrapText="1"/>
    </xf>
    <xf numFmtId="164" fontId="8" fillId="0" borderId="62" xfId="2" applyNumberFormat="1" applyFont="1" applyBorder="1" applyAlignment="1">
      <alignment horizontal="center" vertical="center" wrapText="1"/>
    </xf>
    <xf numFmtId="0" fontId="20" fillId="0" borderId="43" xfId="0" applyFont="1" applyBorder="1" applyAlignment="1">
      <alignment horizontal="center" vertical="center" wrapText="1"/>
    </xf>
    <xf numFmtId="0" fontId="36" fillId="0" borderId="1" xfId="0" applyFont="1" applyBorder="1" applyAlignment="1">
      <alignment vertical="center" wrapText="1"/>
    </xf>
    <xf numFmtId="0" fontId="20" fillId="0" borderId="1" xfId="0" applyFont="1" applyBorder="1" applyAlignment="1">
      <alignment horizontal="center" vertical="center" wrapText="1"/>
    </xf>
    <xf numFmtId="168" fontId="19" fillId="9" borderId="102" xfId="3" quotePrefix="1" applyNumberFormat="1" applyFont="1" applyFill="1" applyBorder="1" applyAlignment="1" applyProtection="1">
      <alignment horizontal="center" vertical="center"/>
      <protection locked="0"/>
    </xf>
    <xf numFmtId="0" fontId="0" fillId="0" borderId="74" xfId="0" applyBorder="1" applyAlignment="1">
      <alignment horizontal="center"/>
    </xf>
    <xf numFmtId="2" fontId="8" fillId="9" borderId="104" xfId="3" applyNumberFormat="1" applyFont="1" applyFill="1" applyBorder="1" applyAlignment="1" applyProtection="1">
      <alignment horizontal="center" vertical="center"/>
      <protection locked="0"/>
    </xf>
    <xf numFmtId="0" fontId="20" fillId="0" borderId="36" xfId="0" applyFont="1" applyBorder="1" applyAlignment="1">
      <alignment horizontal="center" vertical="center" wrapText="1"/>
    </xf>
    <xf numFmtId="0" fontId="20" fillId="0" borderId="40" xfId="0" applyFont="1" applyBorder="1" applyAlignment="1">
      <alignment horizontal="center" vertical="center" wrapText="1"/>
    </xf>
    <xf numFmtId="0" fontId="20" fillId="15" borderId="74" xfId="0" applyFont="1" applyFill="1" applyBorder="1" applyAlignment="1" applyProtection="1">
      <alignment vertical="center" wrapText="1"/>
      <protection locked="0"/>
    </xf>
    <xf numFmtId="0" fontId="34" fillId="15" borderId="102" xfId="0" applyFont="1" applyFill="1" applyBorder="1" applyAlignment="1" applyProtection="1">
      <alignment horizontal="center" vertical="center"/>
      <protection locked="0"/>
    </xf>
    <xf numFmtId="0" fontId="34" fillId="0" borderId="100" xfId="0" applyFont="1" applyBorder="1" applyAlignment="1">
      <alignment horizontal="center" vertical="center"/>
    </xf>
    <xf numFmtId="0" fontId="34" fillId="0" borderId="3" xfId="0" applyFont="1" applyBorder="1" applyAlignment="1">
      <alignment horizontal="center" vertical="center"/>
    </xf>
    <xf numFmtId="0" fontId="34" fillId="0" borderId="1" xfId="0" applyFont="1" applyBorder="1" applyAlignment="1">
      <alignment horizontal="center" vertical="center"/>
    </xf>
    <xf numFmtId="167" fontId="41" fillId="0" borderId="69" xfId="0" applyNumberFormat="1" applyFont="1" applyBorder="1" applyAlignment="1">
      <alignment horizontal="center" vertical="center"/>
    </xf>
    <xf numFmtId="167" fontId="41" fillId="0" borderId="1" xfId="0" applyNumberFormat="1" applyFont="1" applyBorder="1" applyAlignment="1">
      <alignment horizontal="center" vertical="center"/>
    </xf>
    <xf numFmtId="167" fontId="20" fillId="0" borderId="74" xfId="0" applyNumberFormat="1" applyFont="1" applyBorder="1" applyAlignment="1">
      <alignment horizontal="center" vertical="center"/>
    </xf>
    <xf numFmtId="0" fontId="20" fillId="0" borderId="74" xfId="0" applyFont="1" applyBorder="1" applyAlignment="1">
      <alignment horizontal="center" vertical="center"/>
    </xf>
    <xf numFmtId="0" fontId="20" fillId="15" borderId="100" xfId="0" applyFont="1" applyFill="1" applyBorder="1" applyAlignment="1" applyProtection="1">
      <alignment vertical="center"/>
      <protection locked="0"/>
    </xf>
    <xf numFmtId="2" fontId="8" fillId="9" borderId="100" xfId="3" applyNumberFormat="1" applyFont="1" applyFill="1" applyBorder="1" applyAlignment="1" applyProtection="1">
      <alignment horizontal="center" vertical="center"/>
      <protection locked="0"/>
    </xf>
    <xf numFmtId="164" fontId="8" fillId="0" borderId="100" xfId="3" applyNumberFormat="1" applyFont="1" applyBorder="1" applyAlignment="1">
      <alignment horizontal="center" vertical="center"/>
    </xf>
    <xf numFmtId="164" fontId="8" fillId="0" borderId="37" xfId="3" applyNumberFormat="1" applyFont="1" applyBorder="1" applyAlignment="1">
      <alignment horizontal="center" vertical="center"/>
    </xf>
    <xf numFmtId="165" fontId="20" fillId="0" borderId="101" xfId="0" applyNumberFormat="1" applyFont="1" applyBorder="1" applyAlignment="1">
      <alignment horizontal="center" vertical="center"/>
    </xf>
    <xf numFmtId="167" fontId="20" fillId="0" borderId="100" xfId="0" applyNumberFormat="1" applyFont="1" applyBorder="1" applyAlignment="1">
      <alignment horizontal="center" vertical="center"/>
    </xf>
    <xf numFmtId="0" fontId="20" fillId="15" borderId="101" xfId="0" applyFont="1" applyFill="1" applyBorder="1" applyAlignment="1" applyProtection="1">
      <alignment vertical="center"/>
      <protection locked="0"/>
    </xf>
    <xf numFmtId="2" fontId="8" fillId="9" borderId="101" xfId="3" applyNumberFormat="1" applyFont="1" applyFill="1" applyBorder="1" applyAlignment="1" applyProtection="1">
      <alignment horizontal="center" vertical="center"/>
      <protection locked="0"/>
    </xf>
    <xf numFmtId="164" fontId="8" fillId="0" borderId="101" xfId="3" applyNumberFormat="1" applyFont="1" applyBorder="1" applyAlignment="1">
      <alignment horizontal="center" vertical="center"/>
    </xf>
    <xf numFmtId="167" fontId="20" fillId="0" borderId="101" xfId="0" applyNumberFormat="1" applyFont="1" applyBorder="1" applyAlignment="1">
      <alignment horizontal="center" vertical="center"/>
    </xf>
    <xf numFmtId="0" fontId="20" fillId="15" borderId="102" xfId="0" applyFont="1" applyFill="1" applyBorder="1" applyAlignment="1" applyProtection="1">
      <alignment vertical="center"/>
      <protection locked="0"/>
    </xf>
    <xf numFmtId="2" fontId="8" fillId="9" borderId="102" xfId="3" applyNumberFormat="1" applyFont="1" applyFill="1" applyBorder="1" applyAlignment="1" applyProtection="1">
      <alignment horizontal="center" vertical="center"/>
      <protection locked="0"/>
    </xf>
    <xf numFmtId="164" fontId="8" fillId="0" borderId="48" xfId="3" applyNumberFormat="1" applyFont="1" applyBorder="1" applyAlignment="1">
      <alignment horizontal="center" vertical="center"/>
    </xf>
    <xf numFmtId="165" fontId="20" fillId="0" borderId="103" xfId="0" applyNumberFormat="1" applyFont="1" applyBorder="1" applyAlignment="1">
      <alignment horizontal="center" vertical="center"/>
    </xf>
    <xf numFmtId="167" fontId="20" fillId="0" borderId="103" xfId="0" applyNumberFormat="1" applyFont="1" applyBorder="1" applyAlignment="1">
      <alignment horizontal="center" vertical="center"/>
    </xf>
    <xf numFmtId="167" fontId="20" fillId="0" borderId="102" xfId="0" applyNumberFormat="1" applyFont="1" applyBorder="1" applyAlignment="1">
      <alignment horizontal="center" vertical="center"/>
    </xf>
    <xf numFmtId="0" fontId="8" fillId="9" borderId="13" xfId="3" applyFont="1" applyFill="1" applyBorder="1" applyAlignment="1" applyProtection="1">
      <alignment vertical="center" wrapText="1"/>
      <protection locked="0"/>
    </xf>
    <xf numFmtId="2" fontId="8" fillId="9" borderId="14" xfId="3" quotePrefix="1" applyNumberFormat="1" applyFont="1" applyFill="1" applyBorder="1" applyAlignment="1" applyProtection="1">
      <alignment horizontal="center" vertical="center"/>
      <protection locked="0"/>
    </xf>
    <xf numFmtId="164" fontId="8" fillId="9" borderId="18" xfId="3" applyNumberFormat="1" applyFont="1" applyFill="1" applyBorder="1" applyAlignment="1" applyProtection="1">
      <alignment horizontal="center" vertical="center"/>
      <protection locked="0"/>
    </xf>
    <xf numFmtId="165" fontId="20" fillId="0" borderId="100" xfId="0" applyNumberFormat="1" applyFont="1" applyBorder="1" applyAlignment="1">
      <alignment horizontal="center" vertical="center"/>
    </xf>
    <xf numFmtId="0" fontId="8" fillId="9" borderId="37" xfId="3" applyFont="1" applyFill="1" applyBorder="1" applyAlignment="1" applyProtection="1">
      <alignment vertical="center" wrapText="1"/>
      <protection locked="0"/>
    </xf>
    <xf numFmtId="2" fontId="8" fillId="9" borderId="28" xfId="3" quotePrefix="1" applyNumberFormat="1" applyFont="1" applyFill="1" applyBorder="1" applyAlignment="1" applyProtection="1">
      <alignment horizontal="center" vertical="center"/>
      <protection locked="0"/>
    </xf>
    <xf numFmtId="164" fontId="8" fillId="9" borderId="105" xfId="3" applyNumberFormat="1" applyFont="1" applyFill="1" applyBorder="1" applyAlignment="1" applyProtection="1">
      <alignment horizontal="center" vertical="center"/>
      <protection locked="0"/>
    </xf>
    <xf numFmtId="164" fontId="8" fillId="0" borderId="47" xfId="3" applyNumberFormat="1" applyFont="1" applyBorder="1" applyAlignment="1">
      <alignment horizontal="center" vertical="center"/>
    </xf>
    <xf numFmtId="0" fontId="8" fillId="9" borderId="106" xfId="3" applyFont="1" applyFill="1" applyBorder="1" applyAlignment="1" applyProtection="1">
      <alignment vertical="center" wrapText="1"/>
      <protection locked="0"/>
    </xf>
    <xf numFmtId="2" fontId="8" fillId="9" borderId="19" xfId="3" quotePrefix="1" applyNumberFormat="1" applyFont="1" applyFill="1" applyBorder="1" applyAlignment="1" applyProtection="1">
      <alignment horizontal="center" vertical="center"/>
      <protection locked="0"/>
    </xf>
    <xf numFmtId="164" fontId="8" fillId="9" borderId="24" xfId="3" applyNumberFormat="1" applyFont="1" applyFill="1" applyBorder="1" applyAlignment="1" applyProtection="1">
      <alignment horizontal="center" vertical="center"/>
      <protection locked="0"/>
    </xf>
    <xf numFmtId="164" fontId="8" fillId="0" borderId="106" xfId="3" applyNumberFormat="1" applyFont="1" applyBorder="1" applyAlignment="1">
      <alignment horizontal="center" vertical="center"/>
    </xf>
    <xf numFmtId="165" fontId="20" fillId="0" borderId="102" xfId="0" applyNumberFormat="1" applyFont="1" applyBorder="1" applyAlignment="1">
      <alignment horizontal="center" vertical="center"/>
    </xf>
    <xf numFmtId="170" fontId="8" fillId="9" borderId="100" xfId="3" applyNumberFormat="1" applyFont="1" applyFill="1" applyBorder="1" applyAlignment="1" applyProtection="1">
      <alignment horizontal="center" vertical="center"/>
      <protection locked="0"/>
    </xf>
    <xf numFmtId="170" fontId="8" fillId="9" borderId="101" xfId="3" applyNumberFormat="1" applyFont="1" applyFill="1" applyBorder="1" applyAlignment="1" applyProtection="1">
      <alignment horizontal="center" vertical="center"/>
      <protection locked="0"/>
    </xf>
    <xf numFmtId="170" fontId="8" fillId="9" borderId="102" xfId="3" applyNumberFormat="1" applyFont="1" applyFill="1" applyBorder="1" applyAlignment="1" applyProtection="1">
      <alignment horizontal="center" vertical="center"/>
      <protection locked="0"/>
    </xf>
    <xf numFmtId="170" fontId="8" fillId="9" borderId="100" xfId="3" quotePrefix="1" applyNumberFormat="1" applyFont="1" applyFill="1" applyBorder="1" applyAlignment="1" applyProtection="1">
      <alignment horizontal="center" vertical="center"/>
      <protection locked="0"/>
    </xf>
    <xf numFmtId="170" fontId="8" fillId="9" borderId="101" xfId="3" quotePrefix="1" applyNumberFormat="1" applyFont="1" applyFill="1" applyBorder="1" applyAlignment="1" applyProtection="1">
      <alignment horizontal="center" vertical="center"/>
      <protection locked="0"/>
    </xf>
    <xf numFmtId="170" fontId="8" fillId="9" borderId="102" xfId="3" quotePrefix="1" applyNumberFormat="1" applyFont="1" applyFill="1" applyBorder="1" applyAlignment="1" applyProtection="1">
      <alignment horizontal="center" vertical="center"/>
      <protection locked="0"/>
    </xf>
    <xf numFmtId="10" fontId="20" fillId="0" borderId="74" xfId="0" applyNumberFormat="1" applyFont="1" applyBorder="1" applyAlignment="1">
      <alignment horizontal="center" vertical="center"/>
    </xf>
    <xf numFmtId="0" fontId="34" fillId="0" borderId="100" xfId="0" applyFont="1" applyBorder="1" applyAlignment="1">
      <alignment horizontal="center" vertical="center" wrapText="1"/>
    </xf>
    <xf numFmtId="0" fontId="0" fillId="0" borderId="66" xfId="0" applyBorder="1" applyAlignment="1">
      <alignment wrapText="1"/>
    </xf>
    <xf numFmtId="0" fontId="27" fillId="0" borderId="0" xfId="0" applyFont="1" applyAlignment="1">
      <alignment vertical="center" wrapText="1"/>
    </xf>
    <xf numFmtId="0" fontId="27" fillId="0" borderId="66" xfId="0" applyFont="1" applyBorder="1" applyAlignment="1">
      <alignment vertical="center" wrapText="1"/>
    </xf>
    <xf numFmtId="0" fontId="0" fillId="0" borderId="0" xfId="0" applyAlignment="1">
      <alignment horizontal="left" vertical="center" wrapText="1"/>
    </xf>
    <xf numFmtId="164" fontId="0" fillId="0" borderId="0" xfId="0" applyNumberFormat="1" applyAlignment="1">
      <alignment horizontal="center" vertical="center" wrapText="1"/>
    </xf>
    <xf numFmtId="2" fontId="0" fillId="0" borderId="0" xfId="0" applyNumberFormat="1" applyAlignment="1">
      <alignment horizontal="center" vertical="center" wrapText="1"/>
    </xf>
    <xf numFmtId="165" fontId="0" fillId="0" borderId="0" xfId="0" applyNumberFormat="1" applyAlignment="1">
      <alignment horizontal="center" vertical="center" wrapText="1"/>
    </xf>
    <xf numFmtId="10" fontId="0" fillId="0" borderId="0" xfId="0" applyNumberFormat="1" applyAlignment="1">
      <alignment horizontal="center" vertical="center"/>
    </xf>
    <xf numFmtId="2" fontId="8" fillId="0" borderId="11" xfId="3" applyNumberFormat="1" applyFont="1" applyBorder="1" applyAlignment="1">
      <alignment horizontal="center" vertical="center"/>
    </xf>
    <xf numFmtId="0" fontId="8" fillId="0" borderId="28" xfId="3" applyFont="1" applyBorder="1" applyAlignment="1">
      <alignment horizontal="left" vertical="center" wrapText="1"/>
    </xf>
    <xf numFmtId="0" fontId="57" fillId="0" borderId="0" xfId="3" applyFont="1"/>
    <xf numFmtId="0" fontId="8" fillId="5" borderId="28" xfId="11" applyFont="1" applyFill="1" applyBorder="1" applyAlignment="1">
      <alignment vertical="center" wrapText="1"/>
    </xf>
    <xf numFmtId="0" fontId="4" fillId="0" borderId="0" xfId="3" applyFont="1" applyAlignment="1">
      <alignment vertical="center"/>
    </xf>
    <xf numFmtId="0" fontId="8" fillId="5" borderId="38" xfId="11" applyFont="1" applyFill="1" applyBorder="1" applyAlignment="1">
      <alignment vertical="center" wrapText="1"/>
    </xf>
    <xf numFmtId="0" fontId="8" fillId="6" borderId="28" xfId="11" applyFont="1" applyFill="1" applyBorder="1" applyAlignment="1">
      <alignment horizontal="left" vertical="center" wrapText="1"/>
    </xf>
    <xf numFmtId="0" fontId="8" fillId="6" borderId="28" xfId="11" applyFont="1" applyFill="1" applyBorder="1" applyAlignment="1">
      <alignment vertical="center" wrapText="1"/>
    </xf>
    <xf numFmtId="0" fontId="0" fillId="14" borderId="3" xfId="0" applyFill="1" applyBorder="1"/>
    <xf numFmtId="0" fontId="0" fillId="0" borderId="28" xfId="0" applyBorder="1" applyAlignment="1">
      <alignment horizontal="center" vertical="center" wrapText="1"/>
    </xf>
    <xf numFmtId="0" fontId="0" fillId="14" borderId="4" xfId="0" applyFill="1" applyBorder="1"/>
    <xf numFmtId="0" fontId="0" fillId="14" borderId="2" xfId="0" applyFill="1" applyBorder="1" applyAlignment="1">
      <alignment horizontal="center" wrapText="1"/>
    </xf>
    <xf numFmtId="0" fontId="0" fillId="14" borderId="2" xfId="0" applyFill="1" applyBorder="1" applyAlignment="1">
      <alignment horizontal="center"/>
    </xf>
    <xf numFmtId="0" fontId="0" fillId="0" borderId="4" xfId="0" applyBorder="1"/>
    <xf numFmtId="0" fontId="0" fillId="14" borderId="0" xfId="0" applyFill="1" applyAlignment="1">
      <alignment horizontal="center" wrapText="1"/>
    </xf>
    <xf numFmtId="0" fontId="5" fillId="16" borderId="1" xfId="2" applyFont="1" applyFill="1" applyBorder="1" applyAlignment="1" applyProtection="1">
      <alignment horizontal="center" vertical="center" wrapText="1"/>
      <protection locked="0"/>
    </xf>
    <xf numFmtId="0" fontId="58" fillId="0" borderId="0" xfId="3" applyFont="1"/>
    <xf numFmtId="0" fontId="5" fillId="6" borderId="28" xfId="11" applyFont="1" applyFill="1" applyBorder="1" applyAlignment="1">
      <alignment horizontal="center" vertical="center" wrapText="1"/>
    </xf>
    <xf numFmtId="0" fontId="5" fillId="6" borderId="28" xfId="11" applyFont="1" applyFill="1" applyBorder="1" applyAlignment="1">
      <alignment horizontal="center" vertical="center"/>
    </xf>
    <xf numFmtId="44" fontId="19" fillId="6" borderId="28" xfId="4" applyFont="1" applyFill="1" applyBorder="1" applyAlignment="1">
      <alignment horizontal="center" vertical="center" wrapText="1"/>
    </xf>
    <xf numFmtId="2" fontId="5" fillId="6" borderId="28" xfId="11" applyNumberFormat="1" applyFont="1" applyFill="1" applyBorder="1" applyAlignment="1">
      <alignment horizontal="center" vertical="center"/>
    </xf>
    <xf numFmtId="0" fontId="8" fillId="5" borderId="28" xfId="3" applyFont="1" applyFill="1" applyBorder="1" applyAlignment="1">
      <alignment vertical="center"/>
    </xf>
    <xf numFmtId="0" fontId="8" fillId="0" borderId="28" xfId="3" quotePrefix="1" applyFont="1" applyBorder="1" applyAlignment="1">
      <alignment horizontal="left" vertical="center" wrapText="1"/>
    </xf>
    <xf numFmtId="0" fontId="8" fillId="0" borderId="71" xfId="3" applyFont="1" applyBorder="1" applyAlignment="1">
      <alignment vertical="center"/>
    </xf>
    <xf numFmtId="0" fontId="8" fillId="0" borderId="71" xfId="3" applyFont="1" applyBorder="1" applyAlignment="1">
      <alignment horizontal="center" vertical="center"/>
    </xf>
    <xf numFmtId="0" fontId="8" fillId="0" borderId="71" xfId="3" quotePrefix="1" applyFont="1" applyBorder="1" applyAlignment="1">
      <alignment horizontal="left" vertical="center" wrapText="1"/>
    </xf>
    <xf numFmtId="0" fontId="8" fillId="0" borderId="0" xfId="3" applyFont="1" applyAlignment="1">
      <alignment vertical="center"/>
    </xf>
    <xf numFmtId="0" fontId="8" fillId="0" borderId="0" xfId="3" applyFont="1" applyAlignment="1">
      <alignment horizontal="center" vertical="center"/>
    </xf>
    <xf numFmtId="0" fontId="8" fillId="0" borderId="0" xfId="3" quotePrefix="1" applyFont="1" applyAlignment="1">
      <alignment horizontal="left" vertical="center" wrapText="1"/>
    </xf>
    <xf numFmtId="0" fontId="8" fillId="5" borderId="9" xfId="3" applyFont="1" applyFill="1" applyBorder="1" applyAlignment="1">
      <alignment vertical="center"/>
    </xf>
    <xf numFmtId="0" fontId="8" fillId="0" borderId="71" xfId="3" applyFont="1" applyBorder="1" applyAlignment="1">
      <alignment horizontal="left" vertical="center" wrapText="1"/>
    </xf>
    <xf numFmtId="0" fontId="4" fillId="0" borderId="71" xfId="3" applyFont="1" applyBorder="1" applyAlignment="1">
      <alignment vertical="center"/>
    </xf>
    <xf numFmtId="0" fontId="8" fillId="0" borderId="0" xfId="3" applyFont="1" applyAlignment="1">
      <alignment horizontal="left" vertical="center" wrapText="1"/>
    </xf>
    <xf numFmtId="0" fontId="58" fillId="0" borderId="0" xfId="3" applyFont="1" applyAlignment="1">
      <alignment vertical="center"/>
    </xf>
    <xf numFmtId="0" fontId="5" fillId="6" borderId="28" xfId="11" applyFont="1" applyFill="1" applyBorder="1" applyAlignment="1">
      <alignment horizontal="left" vertical="center"/>
    </xf>
    <xf numFmtId="0" fontId="5" fillId="6" borderId="9" xfId="11" applyFont="1" applyFill="1" applyBorder="1" applyAlignment="1">
      <alignment horizontal="center" vertical="center"/>
    </xf>
    <xf numFmtId="2" fontId="5" fillId="6" borderId="9" xfId="11" applyNumberFormat="1" applyFont="1" applyFill="1" applyBorder="1" applyAlignment="1">
      <alignment horizontal="center" vertical="center"/>
    </xf>
    <xf numFmtId="164" fontId="5" fillId="6" borderId="9" xfId="11" applyNumberFormat="1" applyFont="1" applyFill="1" applyBorder="1" applyAlignment="1">
      <alignment horizontal="center" vertical="center"/>
    </xf>
    <xf numFmtId="7" fontId="8" fillId="0" borderId="28" xfId="4" applyNumberFormat="1" applyFont="1" applyFill="1" applyBorder="1" applyAlignment="1">
      <alignment horizontal="center" vertical="center"/>
    </xf>
    <xf numFmtId="0" fontId="10" fillId="0" borderId="0" xfId="3" applyFont="1" applyAlignment="1">
      <alignment vertical="center"/>
    </xf>
    <xf numFmtId="0" fontId="5" fillId="5" borderId="28" xfId="0" applyFont="1" applyFill="1" applyBorder="1" applyAlignment="1">
      <alignment horizontal="left" vertical="center" wrapText="1"/>
    </xf>
    <xf numFmtId="0" fontId="5" fillId="6" borderId="28" xfId="0" applyFont="1" applyFill="1" applyBorder="1" applyAlignment="1">
      <alignment horizontal="center" vertical="center"/>
    </xf>
    <xf numFmtId="164" fontId="5" fillId="6" borderId="28" xfId="11" applyNumberFormat="1" applyFont="1" applyFill="1" applyBorder="1" applyAlignment="1">
      <alignment horizontal="center" vertical="center"/>
    </xf>
    <xf numFmtId="0" fontId="60" fillId="0" borderId="0" xfId="11" applyFont="1" applyAlignment="1">
      <alignment horizontal="left" vertical="center" wrapText="1"/>
    </xf>
    <xf numFmtId="0" fontId="8" fillId="0" borderId="0" xfId="3" applyFont="1"/>
    <xf numFmtId="0" fontId="5" fillId="6" borderId="6" xfId="11" applyFont="1" applyFill="1" applyBorder="1" applyAlignment="1">
      <alignment horizontal="left" vertical="center" wrapText="1"/>
    </xf>
    <xf numFmtId="0" fontId="5" fillId="6" borderId="9" xfId="11" applyFont="1" applyFill="1" applyBorder="1" applyAlignment="1">
      <alignment horizontal="center" vertical="center" wrapText="1"/>
    </xf>
    <xf numFmtId="0" fontId="8" fillId="8" borderId="28" xfId="11" applyFont="1" applyFill="1" applyBorder="1" applyAlignment="1">
      <alignment horizontal="center" vertical="center"/>
    </xf>
    <xf numFmtId="0" fontId="10" fillId="7" borderId="28" xfId="11" quotePrefix="1" applyFont="1" applyFill="1" applyBorder="1" applyAlignment="1">
      <alignment horizontal="left" vertical="center" wrapText="1"/>
    </xf>
    <xf numFmtId="0" fontId="10" fillId="7" borderId="28" xfId="11" applyFont="1" applyFill="1" applyBorder="1" applyAlignment="1">
      <alignment horizontal="left" vertical="center" wrapText="1"/>
    </xf>
    <xf numFmtId="0" fontId="9" fillId="6" borderId="6" xfId="11" applyFont="1" applyFill="1" applyBorder="1" applyAlignment="1">
      <alignment horizontal="left" vertical="center" wrapText="1"/>
    </xf>
    <xf numFmtId="0" fontId="9" fillId="6" borderId="9" xfId="11" applyFont="1" applyFill="1" applyBorder="1" applyAlignment="1">
      <alignment horizontal="center" vertical="center"/>
    </xf>
    <xf numFmtId="0" fontId="9" fillId="6" borderId="9" xfId="11" applyFont="1" applyFill="1" applyBorder="1" applyAlignment="1">
      <alignment horizontal="center" vertical="center" wrapText="1"/>
    </xf>
    <xf numFmtId="2" fontId="8" fillId="0" borderId="28" xfId="11" applyNumberFormat="1" applyFont="1" applyBorder="1" applyAlignment="1">
      <alignment horizontal="center" vertical="center"/>
    </xf>
    <xf numFmtId="0" fontId="9" fillId="5" borderId="38" xfId="11" applyFont="1" applyFill="1" applyBorder="1" applyAlignment="1">
      <alignment vertical="center" wrapText="1"/>
    </xf>
    <xf numFmtId="0" fontId="9" fillId="5" borderId="28" xfId="11" applyFont="1" applyFill="1" applyBorder="1" applyAlignment="1">
      <alignment horizontal="center" vertical="center" wrapText="1"/>
    </xf>
    <xf numFmtId="0" fontId="9" fillId="6" borderId="28" xfId="11" applyFont="1" applyFill="1" applyBorder="1" applyAlignment="1">
      <alignment horizontal="left" vertical="center"/>
    </xf>
    <xf numFmtId="49" fontId="8" fillId="8" borderId="28" xfId="11" applyNumberFormat="1" applyFont="1" applyFill="1" applyBorder="1" applyAlignment="1">
      <alignment horizontal="center" vertical="center" wrapText="1" shrinkToFit="1"/>
    </xf>
    <xf numFmtId="0" fontId="38" fillId="0" borderId="51" xfId="11" applyFont="1" applyBorder="1" applyAlignment="1">
      <alignment horizontal="left" vertical="center" wrapText="1"/>
    </xf>
    <xf numFmtId="0" fontId="10" fillId="0" borderId="71" xfId="3" applyFont="1" applyBorder="1"/>
    <xf numFmtId="0" fontId="5" fillId="6" borderId="28" xfId="11" applyFont="1" applyFill="1" applyBorder="1" applyAlignment="1">
      <alignment horizontal="left" vertical="center" wrapText="1"/>
    </xf>
    <xf numFmtId="0" fontId="5" fillId="6" borderId="28" xfId="3" applyFont="1" applyFill="1" applyBorder="1" applyAlignment="1">
      <alignment horizontal="center" vertical="center" wrapText="1"/>
    </xf>
    <xf numFmtId="0" fontId="10" fillId="0" borderId="28" xfId="11" quotePrefix="1" applyFont="1" applyBorder="1" applyAlignment="1">
      <alignment horizontal="left" vertical="center" wrapText="1"/>
    </xf>
    <xf numFmtId="0" fontId="8" fillId="0" borderId="0" xfId="11" applyFont="1" applyAlignment="1">
      <alignment horizontal="left" vertical="center" wrapText="1"/>
    </xf>
    <xf numFmtId="49" fontId="8" fillId="0" borderId="0" xfId="3" applyNumberFormat="1" applyFont="1" applyAlignment="1">
      <alignment horizontal="center" vertical="center" shrinkToFit="1"/>
    </xf>
    <xf numFmtId="44" fontId="8" fillId="0" borderId="0" xfId="4" applyFont="1" applyFill="1" applyBorder="1" applyAlignment="1">
      <alignment horizontal="center" vertical="center"/>
    </xf>
    <xf numFmtId="0" fontId="10" fillId="0" borderId="0" xfId="11" applyFont="1" applyAlignment="1">
      <alignment horizontal="left" vertical="center" wrapText="1"/>
    </xf>
    <xf numFmtId="0" fontId="10" fillId="0" borderId="28" xfId="11" quotePrefix="1" applyFont="1" applyBorder="1" applyAlignment="1">
      <alignment vertical="center" wrapText="1"/>
    </xf>
    <xf numFmtId="0" fontId="8" fillId="8" borderId="28" xfId="11" applyFont="1" applyFill="1" applyBorder="1" applyAlignment="1">
      <alignment horizontal="center" vertical="center" shrinkToFit="1"/>
    </xf>
    <xf numFmtId="0" fontId="10" fillId="0" borderId="28" xfId="11" applyFont="1" applyBorder="1" applyAlignment="1">
      <alignment vertical="center" wrapText="1"/>
    </xf>
    <xf numFmtId="164" fontId="8" fillId="0" borderId="0" xfId="1" applyNumberFormat="1" applyFont="1"/>
    <xf numFmtId="164" fontId="8" fillId="0" borderId="107" xfId="2" applyNumberFormat="1" applyFont="1" applyBorder="1" applyAlignment="1">
      <alignment horizontal="center" vertical="center" wrapText="1"/>
    </xf>
    <xf numFmtId="165" fontId="8" fillId="0" borderId="60" xfId="2" applyNumberFormat="1" applyFont="1" applyBorder="1" applyAlignment="1">
      <alignment horizontal="center" vertical="center" wrapText="1"/>
    </xf>
    <xf numFmtId="0" fontId="8" fillId="0" borderId="0" xfId="3" applyFont="1" applyAlignment="1" applyProtection="1">
      <alignment vertical="center" wrapText="1"/>
      <protection locked="0"/>
    </xf>
    <xf numFmtId="0" fontId="0" fillId="0" borderId="9" xfId="0" applyBorder="1"/>
    <xf numFmtId="0" fontId="0" fillId="0" borderId="71" xfId="0" applyBorder="1"/>
    <xf numFmtId="0" fontId="0" fillId="0" borderId="27" xfId="0" applyBorder="1" applyAlignment="1">
      <alignment horizontal="center" vertical="center"/>
    </xf>
    <xf numFmtId="0" fontId="0" fillId="0" borderId="39" xfId="0" applyBorder="1" applyAlignment="1">
      <alignment horizontal="center" vertical="center"/>
    </xf>
    <xf numFmtId="0" fontId="0" fillId="0" borderId="99" xfId="0" applyBorder="1" applyAlignment="1">
      <alignment horizontal="center" vertical="center"/>
    </xf>
    <xf numFmtId="0" fontId="23" fillId="0" borderId="41" xfId="0" applyFont="1" applyBorder="1" applyAlignment="1">
      <alignment horizontal="center" vertical="center" wrapText="1"/>
    </xf>
    <xf numFmtId="0" fontId="23" fillId="0" borderId="44" xfId="0" applyFont="1" applyBorder="1" applyAlignment="1">
      <alignment horizontal="center" vertical="center" wrapText="1"/>
    </xf>
    <xf numFmtId="0" fontId="23" fillId="0" borderId="69" xfId="0" applyFont="1" applyBorder="1" applyAlignment="1">
      <alignment horizontal="center" vertical="center" wrapText="1"/>
    </xf>
    <xf numFmtId="0" fontId="23" fillId="0" borderId="68" xfId="0" applyFont="1" applyBorder="1" applyAlignment="1">
      <alignment horizontal="center" vertical="center" wrapText="1"/>
    </xf>
    <xf numFmtId="0" fontId="23" fillId="11" borderId="74" xfId="0" applyFont="1" applyFill="1" applyBorder="1" applyAlignment="1" applyProtection="1">
      <alignment horizontal="center" vertical="center"/>
      <protection locked="0"/>
    </xf>
    <xf numFmtId="0" fontId="23" fillId="11" borderId="50" xfId="0" applyFont="1" applyFill="1" applyBorder="1" applyAlignment="1" applyProtection="1">
      <alignment horizontal="center" vertical="center"/>
      <protection locked="0"/>
    </xf>
    <xf numFmtId="0" fontId="0" fillId="0" borderId="52" xfId="0" applyBorder="1" applyAlignment="1">
      <alignment horizontal="left" vertical="center" wrapText="1"/>
    </xf>
    <xf numFmtId="0" fontId="0" fillId="0" borderId="5" xfId="0" applyBorder="1" applyAlignment="1">
      <alignment horizontal="left" vertical="center" wrapText="1"/>
    </xf>
    <xf numFmtId="0" fontId="0" fillId="0" borderId="46" xfId="0" applyBorder="1" applyAlignment="1">
      <alignment horizontal="left" vertical="center" wrapText="1"/>
    </xf>
    <xf numFmtId="0" fontId="0" fillId="0" borderId="30" xfId="0" applyBorder="1" applyAlignment="1">
      <alignment horizontal="left" vertical="center" wrapText="1"/>
    </xf>
    <xf numFmtId="166" fontId="0" fillId="0" borderId="83" xfId="0" applyNumberFormat="1" applyBorder="1" applyAlignment="1">
      <alignment horizontal="left" vertical="center" wrapText="1"/>
    </xf>
    <xf numFmtId="166" fontId="0" fillId="0" borderId="84" xfId="0" applyNumberFormat="1" applyBorder="1" applyAlignment="1">
      <alignment horizontal="left" vertical="center" wrapText="1"/>
    </xf>
    <xf numFmtId="0" fontId="0" fillId="0" borderId="52" xfId="0" applyBorder="1" applyAlignment="1">
      <alignment horizontal="left" wrapText="1"/>
    </xf>
    <xf numFmtId="0" fontId="0" fillId="0" borderId="5" xfId="0" applyBorder="1" applyAlignment="1">
      <alignment horizontal="left" wrapText="1"/>
    </xf>
    <xf numFmtId="0" fontId="0" fillId="0" borderId="7" xfId="0" applyBorder="1" applyAlignment="1">
      <alignment horizontal="left" wrapText="1"/>
    </xf>
    <xf numFmtId="0" fontId="0" fillId="0" borderId="10" xfId="0" applyBorder="1" applyAlignment="1">
      <alignment horizontal="left"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30" fillId="12" borderId="41" xfId="5" applyFont="1" applyFill="1" applyBorder="1" applyAlignment="1" applyProtection="1">
      <alignment horizontal="center" vertical="center" wrapText="1"/>
    </xf>
    <xf numFmtId="0" fontId="30" fillId="12" borderId="44" xfId="5" applyFont="1" applyFill="1" applyBorder="1" applyAlignment="1" applyProtection="1">
      <alignment horizontal="center" vertical="center" wrapText="1"/>
    </xf>
    <xf numFmtId="0" fontId="30" fillId="12" borderId="69" xfId="5" applyFont="1" applyFill="1" applyBorder="1" applyAlignment="1" applyProtection="1">
      <alignment horizontal="center" vertical="center" wrapText="1"/>
    </xf>
    <xf numFmtId="0" fontId="30" fillId="12" borderId="68" xfId="5" applyFont="1" applyFill="1" applyBorder="1" applyAlignment="1" applyProtection="1">
      <alignment horizontal="center" vertical="center" wrapText="1"/>
    </xf>
    <xf numFmtId="0" fontId="0" fillId="11" borderId="3" xfId="0" applyFill="1" applyBorder="1" applyAlignment="1">
      <alignment horizontal="left" vertical="center" wrapText="1"/>
    </xf>
    <xf numFmtId="0" fontId="0" fillId="11" borderId="4" xfId="0" applyFill="1" applyBorder="1" applyAlignment="1">
      <alignment horizontal="left" vertical="center" wrapText="1"/>
    </xf>
    <xf numFmtId="0" fontId="43" fillId="11" borderId="41" xfId="0" applyFont="1" applyFill="1" applyBorder="1" applyAlignment="1">
      <alignment horizontal="center" vertical="center" wrapText="1"/>
    </xf>
    <xf numFmtId="0" fontId="43" fillId="11" borderId="43" xfId="0" applyFont="1" applyFill="1" applyBorder="1" applyAlignment="1">
      <alignment horizontal="center" vertical="center" wrapText="1"/>
    </xf>
    <xf numFmtId="0" fontId="43" fillId="11" borderId="44" xfId="0" applyFont="1" applyFill="1" applyBorder="1" applyAlignment="1">
      <alignment horizontal="center" vertical="center" wrapText="1"/>
    </xf>
    <xf numFmtId="0" fontId="43" fillId="11" borderId="46" xfId="0" applyFont="1" applyFill="1" applyBorder="1" applyAlignment="1">
      <alignment horizontal="center" vertical="center" wrapText="1"/>
    </xf>
    <xf numFmtId="0" fontId="43" fillId="11" borderId="51" xfId="0" applyFont="1" applyFill="1" applyBorder="1" applyAlignment="1">
      <alignment horizontal="center" vertical="center" wrapText="1"/>
    </xf>
    <xf numFmtId="0" fontId="43" fillId="11" borderId="73" xfId="0" applyFont="1" applyFill="1" applyBorder="1" applyAlignment="1">
      <alignment horizontal="center" vertical="center" wrapText="1"/>
    </xf>
    <xf numFmtId="0" fontId="23" fillId="0" borderId="41" xfId="0" applyFont="1" applyBorder="1" applyAlignment="1">
      <alignment horizontal="left" vertical="center" wrapText="1"/>
    </xf>
    <xf numFmtId="0" fontId="23" fillId="0" borderId="43" xfId="0" applyFont="1" applyBorder="1" applyAlignment="1">
      <alignment horizontal="left" vertical="center" wrapText="1"/>
    </xf>
    <xf numFmtId="0" fontId="23" fillId="0" borderId="44" xfId="0" applyFont="1" applyBorder="1" applyAlignment="1">
      <alignment horizontal="left" vertical="center" wrapText="1"/>
    </xf>
    <xf numFmtId="0" fontId="23" fillId="0" borderId="69" xfId="0" applyFont="1" applyBorder="1" applyAlignment="1">
      <alignment horizontal="left" vertical="center" wrapText="1"/>
    </xf>
    <xf numFmtId="0" fontId="23" fillId="0" borderId="67" xfId="0" applyFont="1" applyBorder="1" applyAlignment="1">
      <alignment horizontal="left" vertical="center" wrapText="1"/>
    </xf>
    <xf numFmtId="0" fontId="23" fillId="0" borderId="68" xfId="0" applyFont="1" applyBorder="1" applyAlignment="1">
      <alignment horizontal="left" vertical="center" wrapText="1"/>
    </xf>
    <xf numFmtId="0" fontId="0" fillId="0" borderId="41" xfId="0" applyBorder="1" applyAlignment="1">
      <alignment horizontal="center" wrapText="1"/>
    </xf>
    <xf numFmtId="0" fontId="0" fillId="0" borderId="43" xfId="0" applyBorder="1" applyAlignment="1">
      <alignment horizontal="center" wrapText="1"/>
    </xf>
    <xf numFmtId="0" fontId="29" fillId="2" borderId="3" xfId="5" applyFont="1" applyFill="1" applyBorder="1" applyAlignment="1" applyProtection="1">
      <alignment horizontal="center" vertical="center"/>
    </xf>
    <xf numFmtId="0" fontId="29" fillId="2" borderId="4" xfId="5" applyFont="1" applyFill="1" applyBorder="1" applyAlignment="1" applyProtection="1">
      <alignment horizontal="center" vertical="center"/>
    </xf>
    <xf numFmtId="0" fontId="29" fillId="2" borderId="2" xfId="5" applyFont="1" applyFill="1" applyBorder="1" applyAlignment="1" applyProtection="1">
      <alignment horizontal="center" vertical="center"/>
    </xf>
    <xf numFmtId="0" fontId="0" fillId="0" borderId="7" xfId="0" applyBorder="1" applyAlignment="1">
      <alignment horizontal="center" wrapText="1"/>
    </xf>
    <xf numFmtId="0" fontId="0" fillId="0" borderId="0" xfId="0" applyAlignment="1">
      <alignment horizontal="center" wrapText="1"/>
    </xf>
    <xf numFmtId="0" fontId="0" fillId="0" borderId="66" xfId="0" applyBorder="1" applyAlignment="1">
      <alignment horizontal="center" wrapText="1"/>
    </xf>
    <xf numFmtId="0" fontId="29" fillId="12" borderId="3" xfId="5" applyFont="1" applyFill="1" applyBorder="1" applyAlignment="1">
      <alignment horizontal="center" vertical="center"/>
    </xf>
    <xf numFmtId="0" fontId="29" fillId="12" borderId="4" xfId="5" applyFont="1" applyFill="1" applyBorder="1" applyAlignment="1">
      <alignment horizontal="center" vertical="center"/>
    </xf>
    <xf numFmtId="0" fontId="29" fillId="12" borderId="2" xfId="5" applyFont="1" applyFill="1" applyBorder="1" applyAlignment="1">
      <alignment horizontal="center" vertical="center"/>
    </xf>
    <xf numFmtId="0" fontId="29" fillId="12" borderId="3" xfId="5" applyFont="1" applyFill="1" applyBorder="1" applyAlignment="1" applyProtection="1">
      <alignment horizontal="center" vertical="center"/>
    </xf>
    <xf numFmtId="0" fontId="29" fillId="12" borderId="4" xfId="5" applyFont="1" applyFill="1" applyBorder="1" applyAlignment="1" applyProtection="1">
      <alignment horizontal="center" vertical="center"/>
    </xf>
    <xf numFmtId="0" fontId="29" fillId="12" borderId="2" xfId="5" applyFont="1" applyFill="1" applyBorder="1" applyAlignment="1" applyProtection="1">
      <alignment horizontal="center" vertical="center"/>
    </xf>
    <xf numFmtId="0" fontId="2" fillId="13" borderId="3" xfId="0" applyFont="1" applyFill="1" applyBorder="1" applyAlignment="1">
      <alignment horizontal="center" vertical="center"/>
    </xf>
    <xf numFmtId="0" fontId="2" fillId="13" borderId="4" xfId="0" applyFont="1" applyFill="1" applyBorder="1" applyAlignment="1">
      <alignment horizontal="center" vertical="center"/>
    </xf>
    <xf numFmtId="0" fontId="2" fillId="13" borderId="2" xfId="0" applyFont="1" applyFill="1" applyBorder="1" applyAlignment="1">
      <alignment horizontal="center" vertical="center"/>
    </xf>
    <xf numFmtId="0" fontId="0" fillId="0" borderId="41" xfId="0" applyBorder="1" applyAlignment="1">
      <alignment horizontal="center"/>
    </xf>
    <xf numFmtId="0" fontId="0" fillId="0" borderId="43" xfId="0" applyBorder="1" applyAlignment="1">
      <alignment horizontal="center"/>
    </xf>
    <xf numFmtId="0" fontId="0" fillId="0" borderId="44" xfId="0" applyBorder="1" applyAlignment="1">
      <alignment horizontal="center"/>
    </xf>
    <xf numFmtId="0" fontId="2" fillId="12" borderId="3" xfId="0" applyFont="1" applyFill="1" applyBorder="1" applyAlignment="1">
      <alignment horizontal="center" vertical="center"/>
    </xf>
    <xf numFmtId="0" fontId="2" fillId="12" borderId="4" xfId="0" applyFont="1" applyFill="1" applyBorder="1" applyAlignment="1">
      <alignment horizontal="center" vertical="center"/>
    </xf>
    <xf numFmtId="0" fontId="2" fillId="12" borderId="2" xfId="0" applyFont="1" applyFill="1" applyBorder="1" applyAlignment="1">
      <alignment horizontal="center" vertical="center"/>
    </xf>
    <xf numFmtId="0" fontId="0" fillId="0" borderId="45" xfId="0" applyBorder="1" applyAlignment="1">
      <alignment horizontal="center" vertical="center"/>
    </xf>
    <xf numFmtId="0" fontId="0" fillId="0" borderId="70" xfId="0" applyBorder="1" applyAlignment="1">
      <alignment horizontal="center" vertical="center"/>
    </xf>
    <xf numFmtId="0" fontId="0" fillId="0" borderId="7" xfId="0" applyBorder="1" applyAlignment="1">
      <alignment horizontal="center" vertical="center" wrapText="1"/>
    </xf>
    <xf numFmtId="0" fontId="0" fillId="0" borderId="0" xfId="0" applyAlignment="1">
      <alignment horizontal="center" vertical="center" wrapText="1"/>
    </xf>
    <xf numFmtId="0" fontId="0" fillId="0" borderId="66" xfId="0" applyBorder="1" applyAlignment="1">
      <alignment horizontal="center" vertical="center" wrapText="1"/>
    </xf>
    <xf numFmtId="0" fontId="0" fillId="0" borderId="46" xfId="0" applyBorder="1" applyAlignment="1">
      <alignment horizontal="center" vertical="center" wrapText="1"/>
    </xf>
    <xf numFmtId="0" fontId="0" fillId="0" borderId="51" xfId="0" applyBorder="1" applyAlignment="1">
      <alignment horizontal="center" vertical="center" wrapText="1"/>
    </xf>
    <xf numFmtId="0" fontId="0" fillId="0" borderId="73" xfId="0" applyBorder="1" applyAlignment="1">
      <alignment horizontal="center" vertical="center" wrapText="1"/>
    </xf>
    <xf numFmtId="0" fontId="29" fillId="13" borderId="3" xfId="5" applyFont="1" applyFill="1" applyBorder="1" applyAlignment="1" applyProtection="1">
      <alignment horizontal="center" vertical="center"/>
    </xf>
    <xf numFmtId="0" fontId="29" fillId="13" borderId="4" xfId="5" applyFont="1" applyFill="1" applyBorder="1" applyAlignment="1" applyProtection="1">
      <alignment horizontal="center" vertical="center"/>
    </xf>
    <xf numFmtId="0" fontId="29" fillId="13" borderId="2" xfId="5" applyFont="1" applyFill="1" applyBorder="1" applyAlignment="1" applyProtection="1">
      <alignment horizontal="center" vertical="center"/>
    </xf>
    <xf numFmtId="0" fontId="0" fillId="0" borderId="52" xfId="0" applyBorder="1" applyAlignment="1">
      <alignment horizontal="center" vertical="center" wrapText="1"/>
    </xf>
    <xf numFmtId="0" fontId="0" fillId="0" borderId="71" xfId="0" applyBorder="1" applyAlignment="1">
      <alignment horizontal="center" vertical="center" wrapText="1"/>
    </xf>
    <xf numFmtId="0" fontId="0" fillId="0" borderId="72" xfId="0" applyBorder="1" applyAlignment="1">
      <alignment horizontal="center" vertical="center" wrapText="1"/>
    </xf>
    <xf numFmtId="0" fontId="29" fillId="13" borderId="3" xfId="5" applyFont="1" applyFill="1" applyBorder="1" applyAlignment="1">
      <alignment horizontal="center" vertical="center"/>
    </xf>
    <xf numFmtId="0" fontId="29" fillId="13" borderId="4" xfId="5" applyFont="1" applyFill="1" applyBorder="1" applyAlignment="1">
      <alignment horizontal="center" vertical="center"/>
    </xf>
    <xf numFmtId="0" fontId="29" fillId="13" borderId="2" xfId="5" applyFont="1" applyFill="1" applyBorder="1" applyAlignment="1">
      <alignment horizontal="center" vertical="center"/>
    </xf>
    <xf numFmtId="0" fontId="27" fillId="17" borderId="3" xfId="0" applyFont="1" applyFill="1" applyBorder="1" applyAlignment="1">
      <alignment horizontal="center" vertical="center" wrapText="1"/>
    </xf>
    <xf numFmtId="0" fontId="27" fillId="17" borderId="4" xfId="0" applyFont="1" applyFill="1" applyBorder="1" applyAlignment="1">
      <alignment horizontal="center" vertical="center" wrapText="1"/>
    </xf>
    <xf numFmtId="0" fontId="27" fillId="17" borderId="2" xfId="0" applyFont="1" applyFill="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66" xfId="0" applyFont="1" applyBorder="1" applyAlignment="1">
      <alignment horizontal="center" vertical="center" wrapText="1"/>
    </xf>
    <xf numFmtId="0" fontId="0" fillId="0" borderId="7" xfId="0" applyBorder="1" applyAlignment="1">
      <alignment horizontal="center"/>
    </xf>
    <xf numFmtId="0" fontId="0" fillId="0" borderId="0" xfId="0" applyAlignment="1">
      <alignment horizontal="center"/>
    </xf>
    <xf numFmtId="0" fontId="0" fillId="0" borderId="66" xfId="0" applyBorder="1" applyAlignment="1">
      <alignment horizontal="center"/>
    </xf>
    <xf numFmtId="0" fontId="56" fillId="17" borderId="41" xfId="5" applyFont="1" applyFill="1" applyBorder="1" applyAlignment="1">
      <alignment horizontal="center" vertical="center"/>
    </xf>
    <xf numFmtId="0" fontId="56" fillId="17" borderId="43" xfId="5" applyFont="1" applyFill="1" applyBorder="1" applyAlignment="1">
      <alignment horizontal="center" vertical="center"/>
    </xf>
    <xf numFmtId="0" fontId="56" fillId="17" borderId="44" xfId="5" applyFont="1" applyFill="1" applyBorder="1" applyAlignment="1">
      <alignment horizontal="center" vertical="center"/>
    </xf>
    <xf numFmtId="0" fontId="56" fillId="17" borderId="69" xfId="5" applyFont="1" applyFill="1" applyBorder="1" applyAlignment="1">
      <alignment horizontal="center" vertical="center"/>
    </xf>
    <xf numFmtId="0" fontId="56" fillId="17" borderId="67" xfId="5" applyFont="1" applyFill="1" applyBorder="1" applyAlignment="1">
      <alignment horizontal="center" vertical="center"/>
    </xf>
    <xf numFmtId="0" fontId="56" fillId="17" borderId="68" xfId="5" applyFont="1" applyFill="1" applyBorder="1" applyAlignment="1">
      <alignment horizontal="center" vertical="center"/>
    </xf>
    <xf numFmtId="0" fontId="33" fillId="0" borderId="3" xfId="0" applyFont="1" applyBorder="1" applyAlignment="1">
      <alignment horizontal="center" vertical="center"/>
    </xf>
    <xf numFmtId="0" fontId="33" fillId="0" borderId="4" xfId="0" applyFont="1" applyBorder="1" applyAlignment="1">
      <alignment horizontal="center" vertical="center"/>
    </xf>
    <xf numFmtId="0" fontId="33" fillId="0" borderId="2" xfId="0" applyFont="1" applyBorder="1" applyAlignment="1">
      <alignment horizontal="center" vertical="center"/>
    </xf>
    <xf numFmtId="0" fontId="20" fillId="0" borderId="7" xfId="0" applyFont="1" applyBorder="1" applyAlignment="1">
      <alignment horizontal="center"/>
    </xf>
    <xf numFmtId="0" fontId="20" fillId="0" borderId="0" xfId="0" applyFont="1" applyAlignment="1">
      <alignment horizontal="center"/>
    </xf>
    <xf numFmtId="0" fontId="20" fillId="0" borderId="66" xfId="0" applyFont="1" applyBorder="1" applyAlignment="1">
      <alignment horizontal="center"/>
    </xf>
    <xf numFmtId="0" fontId="20" fillId="0" borderId="3" xfId="0" applyFont="1" applyBorder="1" applyAlignment="1">
      <alignment horizontal="center" vertical="center"/>
    </xf>
    <xf numFmtId="0" fontId="20" fillId="0" borderId="4" xfId="0" applyFont="1" applyBorder="1" applyAlignment="1">
      <alignment horizontal="center" vertical="center"/>
    </xf>
    <xf numFmtId="0" fontId="28" fillId="0" borderId="4" xfId="5" applyFont="1" applyBorder="1" applyAlignment="1" applyProtection="1">
      <alignment horizontal="center" vertical="center"/>
    </xf>
    <xf numFmtId="0" fontId="28" fillId="0" borderId="2" xfId="5" applyFont="1" applyBorder="1" applyAlignment="1" applyProtection="1">
      <alignment horizontal="center" vertical="center"/>
    </xf>
    <xf numFmtId="0" fontId="26" fillId="0" borderId="4" xfId="5" applyBorder="1" applyAlignment="1" applyProtection="1">
      <alignment horizontal="center" vertical="center"/>
    </xf>
    <xf numFmtId="0" fontId="29" fillId="0" borderId="2" xfId="5" applyFont="1" applyBorder="1" applyAlignment="1" applyProtection="1">
      <alignment horizontal="center" vertical="center"/>
    </xf>
    <xf numFmtId="0" fontId="27" fillId="2" borderId="3" xfId="0" applyFont="1" applyFill="1" applyBorder="1" applyAlignment="1">
      <alignment horizontal="center" vertical="center"/>
    </xf>
    <xf numFmtId="0" fontId="27" fillId="2" borderId="4" xfId="0" applyFont="1" applyFill="1" applyBorder="1" applyAlignment="1">
      <alignment horizontal="center" vertical="center"/>
    </xf>
    <xf numFmtId="0" fontId="27" fillId="2" borderId="2" xfId="0" applyFont="1" applyFill="1" applyBorder="1" applyAlignment="1">
      <alignment horizontal="center" vertical="center"/>
    </xf>
    <xf numFmtId="0" fontId="0" fillId="0" borderId="41" xfId="0" applyBorder="1" applyAlignment="1">
      <alignment horizontal="center" vertical="center" wrapText="1"/>
    </xf>
    <xf numFmtId="0" fontId="0" fillId="0" borderId="44" xfId="0" applyBorder="1" applyAlignment="1">
      <alignment horizontal="center" vertical="center" wrapText="1"/>
    </xf>
    <xf numFmtId="0" fontId="0" fillId="0" borderId="69" xfId="0" applyBorder="1" applyAlignment="1">
      <alignment horizontal="center" vertical="center" wrapText="1"/>
    </xf>
    <xf numFmtId="0" fontId="0" fillId="0" borderId="68" xfId="0" applyBorder="1" applyAlignment="1">
      <alignment horizontal="center" vertical="center" wrapText="1"/>
    </xf>
    <xf numFmtId="0" fontId="0" fillId="0" borderId="4" xfId="0" applyBorder="1" applyAlignment="1">
      <alignment horizontal="center"/>
    </xf>
    <xf numFmtId="0" fontId="0" fillId="0" borderId="2" xfId="0" applyBorder="1" applyAlignment="1">
      <alignment horizontal="center"/>
    </xf>
    <xf numFmtId="0" fontId="62" fillId="12" borderId="41" xfId="5" applyFont="1" applyFill="1" applyBorder="1" applyAlignment="1">
      <alignment horizontal="center" vertical="center" wrapText="1"/>
    </xf>
    <xf numFmtId="0" fontId="62" fillId="12" borderId="44" xfId="5" applyFont="1" applyFill="1" applyBorder="1" applyAlignment="1">
      <alignment horizontal="center" vertical="center" wrapText="1"/>
    </xf>
    <xf numFmtId="0" fontId="62" fillId="12" borderId="7" xfId="5" applyFont="1" applyFill="1" applyBorder="1" applyAlignment="1">
      <alignment horizontal="center" vertical="center" wrapText="1"/>
    </xf>
    <xf numFmtId="0" fontId="62" fillId="12" borderId="66" xfId="5" applyFont="1" applyFill="1" applyBorder="1" applyAlignment="1">
      <alignment horizontal="center" vertical="center" wrapText="1"/>
    </xf>
    <xf numFmtId="0" fontId="62" fillId="12" borderId="67" xfId="5" applyFont="1" applyFill="1" applyBorder="1" applyAlignment="1">
      <alignment horizontal="center" vertical="center" wrapText="1"/>
    </xf>
    <xf numFmtId="0" fontId="62" fillId="12" borderId="68" xfId="5" applyFont="1" applyFill="1" applyBorder="1" applyAlignment="1">
      <alignment horizontal="center" vertical="center" wrapText="1"/>
    </xf>
    <xf numFmtId="0" fontId="62" fillId="2" borderId="41" xfId="5" applyFont="1" applyFill="1" applyBorder="1" applyAlignment="1">
      <alignment horizontal="center" vertical="center" wrapText="1"/>
    </xf>
    <xf numFmtId="0" fontId="62" fillId="2" borderId="44" xfId="5" applyFont="1" applyFill="1" applyBorder="1" applyAlignment="1">
      <alignment horizontal="center" vertical="center"/>
    </xf>
    <xf numFmtId="0" fontId="62" fillId="2" borderId="7" xfId="5" applyFont="1" applyFill="1" applyBorder="1" applyAlignment="1">
      <alignment horizontal="center" vertical="center"/>
    </xf>
    <xf numFmtId="0" fontId="62" fillId="2" borderId="66" xfId="5" applyFont="1" applyFill="1" applyBorder="1" applyAlignment="1">
      <alignment horizontal="center" vertical="center"/>
    </xf>
    <xf numFmtId="0" fontId="62" fillId="2" borderId="69" xfId="5" applyFont="1" applyFill="1" applyBorder="1" applyAlignment="1">
      <alignment horizontal="center" vertical="center"/>
    </xf>
    <xf numFmtId="0" fontId="62" fillId="2" borderId="68" xfId="5" applyFont="1" applyFill="1" applyBorder="1" applyAlignment="1">
      <alignment horizontal="center" vertical="center"/>
    </xf>
    <xf numFmtId="0" fontId="44" fillId="4" borderId="3" xfId="2" applyFont="1" applyFill="1" applyBorder="1" applyAlignment="1">
      <alignment horizontal="center" vertical="center" wrapText="1"/>
    </xf>
    <xf numFmtId="0" fontId="44" fillId="4" borderId="2" xfId="2" applyFont="1" applyFill="1" applyBorder="1" applyAlignment="1">
      <alignment horizontal="center" vertical="center" wrapText="1"/>
    </xf>
    <xf numFmtId="2" fontId="0" fillId="11" borderId="3" xfId="0" applyNumberFormat="1" applyFill="1" applyBorder="1" applyAlignment="1">
      <alignment horizontal="center" vertical="center"/>
    </xf>
    <xf numFmtId="2" fontId="0" fillId="11" borderId="2" xfId="0" applyNumberFormat="1" applyFill="1" applyBorder="1" applyAlignment="1">
      <alignment horizontal="center" vertical="center"/>
    </xf>
    <xf numFmtId="0" fontId="0" fillId="0" borderId="43" xfId="0" applyBorder="1" applyAlignment="1">
      <alignment horizontal="left" vertical="center" wrapText="1"/>
    </xf>
    <xf numFmtId="0" fontId="0" fillId="0" borderId="0" xfId="0" applyAlignment="1">
      <alignment horizontal="left" vertical="center" wrapText="1"/>
    </xf>
    <xf numFmtId="165" fontId="0" fillId="11" borderId="3" xfId="0" applyNumberFormat="1" applyFill="1" applyBorder="1" applyAlignment="1">
      <alignment horizontal="center" vertical="center"/>
    </xf>
    <xf numFmtId="165" fontId="0" fillId="11" borderId="2" xfId="0" applyNumberFormat="1" applyFill="1" applyBorder="1" applyAlignment="1">
      <alignment horizontal="center" vertical="center"/>
    </xf>
    <xf numFmtId="0" fontId="0" fillId="0" borderId="7" xfId="0" applyBorder="1" applyAlignment="1">
      <alignment horizontal="left" vertical="center" wrapText="1"/>
    </xf>
    <xf numFmtId="0" fontId="22" fillId="4" borderId="3" xfId="2" applyFont="1" applyFill="1" applyBorder="1" applyAlignment="1">
      <alignment horizontal="center" vertical="center" wrapText="1"/>
    </xf>
    <xf numFmtId="0" fontId="22" fillId="4" borderId="4" xfId="2" applyFont="1" applyFill="1" applyBorder="1" applyAlignment="1">
      <alignment horizontal="center" vertical="center" wrapText="1"/>
    </xf>
    <xf numFmtId="0" fontId="22" fillId="4" borderId="2" xfId="2" applyFont="1" applyFill="1" applyBorder="1" applyAlignment="1">
      <alignment horizontal="center" vertical="center" wrapText="1"/>
    </xf>
    <xf numFmtId="2" fontId="0" fillId="0" borderId="3" xfId="0" applyNumberFormat="1" applyBorder="1" applyAlignment="1">
      <alignment horizontal="left" vertical="center" wrapText="1"/>
    </xf>
    <xf numFmtId="0" fontId="0" fillId="0" borderId="2" xfId="0" applyBorder="1" applyAlignment="1">
      <alignment horizontal="left" vertical="center" wrapText="1"/>
    </xf>
    <xf numFmtId="10" fontId="0" fillId="0" borderId="69" xfId="0" applyNumberFormat="1" applyBorder="1" applyAlignment="1">
      <alignment horizontal="center" vertical="center"/>
    </xf>
    <xf numFmtId="0" fontId="0" fillId="0" borderId="68" xfId="0" applyBorder="1" applyAlignment="1">
      <alignment horizontal="center" vertical="center"/>
    </xf>
    <xf numFmtId="0" fontId="25" fillId="0" borderId="41" xfId="0" applyFont="1" applyBorder="1" applyAlignment="1">
      <alignment horizontal="left" vertical="center" wrapText="1"/>
    </xf>
    <xf numFmtId="0" fontId="25" fillId="0" borderId="43" xfId="0" applyFont="1" applyBorder="1" applyAlignment="1">
      <alignment horizontal="left" vertical="center" wrapText="1"/>
    </xf>
    <xf numFmtId="0" fontId="25" fillId="0" borderId="44" xfId="0" applyFont="1" applyBorder="1" applyAlignment="1">
      <alignment horizontal="left" vertical="center" wrapText="1"/>
    </xf>
    <xf numFmtId="0" fontId="0" fillId="0" borderId="69" xfId="0" applyBorder="1" applyAlignment="1">
      <alignment horizontal="left" vertical="center" wrapText="1"/>
    </xf>
    <xf numFmtId="0" fontId="0" fillId="0" borderId="67" xfId="0" applyBorder="1" applyAlignment="1">
      <alignment horizontal="left" vertical="center" wrapText="1"/>
    </xf>
    <xf numFmtId="0" fontId="0" fillId="0" borderId="68" xfId="0" applyBorder="1" applyAlignment="1">
      <alignment horizontal="left" vertical="center" wrapText="1"/>
    </xf>
    <xf numFmtId="0" fontId="54" fillId="17" borderId="3" xfId="0" applyFont="1" applyFill="1" applyBorder="1" applyAlignment="1">
      <alignment horizontal="center" vertical="center"/>
    </xf>
    <xf numFmtId="0" fontId="54" fillId="17" borderId="4" xfId="0" applyFont="1" applyFill="1" applyBorder="1" applyAlignment="1">
      <alignment horizontal="center" vertical="center"/>
    </xf>
    <xf numFmtId="0" fontId="54" fillId="17" borderId="2" xfId="0" applyFont="1" applyFill="1" applyBorder="1" applyAlignment="1">
      <alignment horizontal="center" vertical="center"/>
    </xf>
    <xf numFmtId="0" fontId="41" fillId="0" borderId="41" xfId="0" applyFont="1" applyBorder="1" applyAlignment="1">
      <alignment horizontal="center" vertical="center"/>
    </xf>
    <xf numFmtId="0" fontId="41" fillId="0" borderId="44" xfId="0" applyFont="1" applyBorder="1" applyAlignment="1">
      <alignment horizontal="center" vertical="center"/>
    </xf>
    <xf numFmtId="0" fontId="41" fillId="0" borderId="3" xfId="0" applyFont="1" applyBorder="1" applyAlignment="1">
      <alignment horizontal="center" vertical="center"/>
    </xf>
    <xf numFmtId="0" fontId="41" fillId="0" borderId="2" xfId="0" applyFont="1" applyBorder="1" applyAlignment="1">
      <alignment horizontal="center" vertical="center"/>
    </xf>
    <xf numFmtId="10" fontId="41" fillId="0" borderId="69" xfId="0" applyNumberFormat="1" applyFont="1" applyBorder="1" applyAlignment="1">
      <alignment horizontal="center" vertical="center"/>
    </xf>
    <xf numFmtId="10" fontId="41" fillId="0" borderId="68" xfId="0" applyNumberFormat="1" applyFont="1" applyBorder="1" applyAlignment="1">
      <alignment horizontal="center" vertical="center"/>
    </xf>
    <xf numFmtId="10" fontId="41" fillId="0" borderId="69" xfId="0" applyNumberFormat="1" applyFont="1" applyBorder="1" applyAlignment="1">
      <alignment horizontal="center" vertical="center" wrapText="1"/>
    </xf>
    <xf numFmtId="10" fontId="41" fillId="0" borderId="68" xfId="0" applyNumberFormat="1" applyFont="1" applyBorder="1" applyAlignment="1">
      <alignment horizontal="center" vertical="center" wrapText="1"/>
    </xf>
    <xf numFmtId="0" fontId="2" fillId="3" borderId="41" xfId="0" applyFont="1" applyFill="1" applyBorder="1" applyAlignment="1">
      <alignment horizontal="center" vertical="center" wrapText="1"/>
    </xf>
    <xf numFmtId="0" fontId="43" fillId="11" borderId="69" xfId="0" applyFont="1" applyFill="1" applyBorder="1" applyAlignment="1">
      <alignment horizontal="center" vertical="center" wrapText="1"/>
    </xf>
    <xf numFmtId="0" fontId="43" fillId="11" borderId="67" xfId="0" applyFont="1" applyFill="1" applyBorder="1" applyAlignment="1">
      <alignment horizontal="center" vertical="center" wrapText="1"/>
    </xf>
    <xf numFmtId="0" fontId="43" fillId="11" borderId="68" xfId="0" applyFont="1" applyFill="1" applyBorder="1" applyAlignment="1">
      <alignment horizontal="center" vertical="center" wrapText="1"/>
    </xf>
    <xf numFmtId="0" fontId="30" fillId="13" borderId="41" xfId="5" applyFont="1" applyFill="1" applyBorder="1" applyAlignment="1" applyProtection="1">
      <alignment horizontal="center" vertical="center" wrapText="1"/>
    </xf>
    <xf numFmtId="0" fontId="30" fillId="13" borderId="44" xfId="5" applyFont="1" applyFill="1" applyBorder="1" applyAlignment="1" applyProtection="1">
      <alignment horizontal="center" vertical="center" wrapText="1"/>
    </xf>
    <xf numFmtId="0" fontId="30" fillId="13" borderId="69" xfId="5" applyFont="1" applyFill="1" applyBorder="1" applyAlignment="1" applyProtection="1">
      <alignment horizontal="center" vertical="center" wrapText="1"/>
    </xf>
    <xf numFmtId="0" fontId="30" fillId="13" borderId="68" xfId="5" applyFont="1" applyFill="1" applyBorder="1" applyAlignment="1" applyProtection="1">
      <alignment horizontal="center" vertical="center" wrapText="1"/>
    </xf>
    <xf numFmtId="0" fontId="0" fillId="0" borderId="27" xfId="0" applyBorder="1" applyAlignment="1">
      <alignment horizontal="center"/>
    </xf>
    <xf numFmtId="0" fontId="0" fillId="0" borderId="39" xfId="0" applyBorder="1" applyAlignment="1">
      <alignment horizontal="center"/>
    </xf>
    <xf numFmtId="0" fontId="0" fillId="0" borderId="69" xfId="0" applyBorder="1" applyAlignment="1">
      <alignment horizontal="left" wrapText="1"/>
    </xf>
    <xf numFmtId="0" fontId="0" fillId="0" borderId="22" xfId="0" applyBorder="1" applyAlignment="1">
      <alignment horizontal="left" wrapText="1"/>
    </xf>
    <xf numFmtId="166" fontId="0" fillId="0" borderId="87" xfId="0" applyNumberFormat="1" applyBorder="1" applyAlignment="1">
      <alignment horizontal="left" vertical="center" wrapText="1"/>
    </xf>
    <xf numFmtId="0" fontId="23" fillId="0" borderId="43" xfId="0" applyFont="1" applyBorder="1" applyAlignment="1">
      <alignment horizontal="center" vertical="center" wrapText="1"/>
    </xf>
    <xf numFmtId="0" fontId="23" fillId="0" borderId="67" xfId="0" applyFont="1" applyBorder="1" applyAlignment="1">
      <alignment horizontal="center" vertical="center" wrapText="1"/>
    </xf>
    <xf numFmtId="0" fontId="0" fillId="0" borderId="41" xfId="0" applyBorder="1" applyAlignment="1">
      <alignment horizontal="left" vertical="center" wrapText="1"/>
    </xf>
    <xf numFmtId="0" fontId="0" fillId="0" borderId="85" xfId="0" applyBorder="1" applyAlignment="1">
      <alignment horizontal="left" vertical="center" wrapText="1"/>
    </xf>
    <xf numFmtId="166" fontId="0" fillId="0" borderId="42" xfId="0" applyNumberFormat="1" applyBorder="1" applyAlignment="1">
      <alignment horizontal="left" vertical="center" wrapText="1"/>
    </xf>
    <xf numFmtId="166" fontId="0" fillId="0" borderId="86" xfId="0" applyNumberFormat="1" applyBorder="1" applyAlignment="1">
      <alignment horizontal="left" vertical="center" wrapText="1"/>
    </xf>
    <xf numFmtId="0" fontId="0" fillId="0" borderId="43" xfId="0" applyBorder="1" applyAlignment="1">
      <alignment horizontal="center" vertical="center" wrapText="1"/>
    </xf>
    <xf numFmtId="0" fontId="28" fillId="0" borderId="7" xfId="5" applyFont="1" applyBorder="1" applyAlignment="1">
      <alignment horizontal="center" vertical="center" wrapText="1"/>
    </xf>
    <xf numFmtId="0" fontId="20" fillId="0" borderId="69" xfId="0" applyFont="1" applyBorder="1" applyAlignment="1">
      <alignment horizontal="center" vertical="center" wrapText="1"/>
    </xf>
    <xf numFmtId="0" fontId="20" fillId="0" borderId="67" xfId="0" applyFont="1" applyBorder="1" applyAlignment="1">
      <alignment horizontal="center" vertical="center" wrapText="1"/>
    </xf>
    <xf numFmtId="0" fontId="20" fillId="0" borderId="68" xfId="0" applyFont="1" applyBorder="1" applyAlignment="1">
      <alignment horizontal="center" vertical="center" wrapText="1"/>
    </xf>
    <xf numFmtId="10" fontId="0" fillId="0" borderId="69" xfId="0" applyNumberFormat="1" applyBorder="1" applyAlignment="1">
      <alignment horizontal="center"/>
    </xf>
    <xf numFmtId="0" fontId="0" fillId="0" borderId="68" xfId="0" applyBorder="1" applyAlignment="1">
      <alignment horizontal="center"/>
    </xf>
    <xf numFmtId="0" fontId="44" fillId="4" borderId="4" xfId="2" applyFont="1" applyFill="1" applyBorder="1" applyAlignment="1">
      <alignment horizontal="center" vertical="center" wrapText="1"/>
    </xf>
    <xf numFmtId="0" fontId="0" fillId="0" borderId="2" xfId="0" applyBorder="1" applyAlignment="1">
      <alignment horizontal="center" vertical="center" wrapText="1"/>
    </xf>
    <xf numFmtId="0" fontId="62" fillId="2" borderId="44" xfId="5" applyFont="1" applyFill="1" applyBorder="1" applyAlignment="1">
      <alignment horizontal="center" vertical="center" wrapText="1"/>
    </xf>
    <xf numFmtId="0" fontId="62" fillId="2" borderId="7" xfId="5" applyFont="1" applyFill="1" applyBorder="1" applyAlignment="1">
      <alignment horizontal="center" vertical="center" wrapText="1"/>
    </xf>
    <xf numFmtId="0" fontId="62" fillId="2" borderId="66" xfId="5" applyFont="1" applyFill="1" applyBorder="1" applyAlignment="1">
      <alignment horizontal="center" vertical="center" wrapText="1"/>
    </xf>
    <xf numFmtId="0" fontId="62" fillId="2" borderId="69" xfId="5" applyFont="1" applyFill="1" applyBorder="1" applyAlignment="1">
      <alignment horizontal="center" vertical="center" wrapText="1"/>
    </xf>
    <xf numFmtId="0" fontId="62" fillId="2" borderId="68" xfId="5" applyFont="1" applyFill="1" applyBorder="1" applyAlignment="1">
      <alignment horizontal="center" vertical="center" wrapText="1"/>
    </xf>
    <xf numFmtId="0" fontId="62" fillId="13" borderId="43" xfId="5" applyFont="1" applyFill="1" applyBorder="1" applyAlignment="1">
      <alignment horizontal="center" vertical="center" wrapText="1"/>
    </xf>
    <xf numFmtId="0" fontId="62" fillId="13" borderId="44" xfId="5" applyFont="1" applyFill="1" applyBorder="1" applyAlignment="1">
      <alignment horizontal="center" vertical="center" wrapText="1"/>
    </xf>
    <xf numFmtId="0" fontId="62" fillId="13" borderId="0" xfId="5" applyFont="1" applyFill="1" applyBorder="1" applyAlignment="1">
      <alignment horizontal="center" vertical="center" wrapText="1"/>
    </xf>
    <xf numFmtId="0" fontId="62" fillId="13" borderId="66" xfId="5" applyFont="1" applyFill="1" applyBorder="1" applyAlignment="1">
      <alignment horizontal="center" vertical="center" wrapText="1"/>
    </xf>
    <xf numFmtId="0" fontId="62" fillId="13" borderId="67" xfId="5" applyFont="1" applyFill="1" applyBorder="1" applyAlignment="1">
      <alignment horizontal="center" vertical="center" wrapText="1"/>
    </xf>
    <xf numFmtId="0" fontId="62" fillId="13" borderId="68" xfId="5" applyFont="1" applyFill="1" applyBorder="1" applyAlignment="1">
      <alignment horizontal="center" vertical="center" wrapText="1"/>
    </xf>
    <xf numFmtId="0" fontId="44" fillId="4" borderId="41" xfId="2" applyFont="1" applyFill="1" applyBorder="1" applyAlignment="1">
      <alignment horizontal="center" vertical="center" wrapText="1"/>
    </xf>
    <xf numFmtId="0" fontId="44" fillId="4" borderId="44" xfId="2" applyFont="1" applyFill="1" applyBorder="1" applyAlignment="1">
      <alignment horizontal="center" vertical="center" wrapText="1"/>
    </xf>
    <xf numFmtId="0" fontId="8" fillId="0" borderId="28" xfId="3" applyFont="1" applyBorder="1" applyAlignment="1">
      <alignment horizontal="left" vertical="center" wrapText="1"/>
    </xf>
    <xf numFmtId="0" fontId="39" fillId="0" borderId="0" xfId="0" applyFont="1" applyAlignment="1">
      <alignment horizontal="center" vertical="center"/>
    </xf>
    <xf numFmtId="0" fontId="34" fillId="0" borderId="0" xfId="0" applyFont="1" applyAlignment="1">
      <alignment horizontal="center" vertical="center"/>
    </xf>
    <xf numFmtId="0" fontId="8" fillId="0" borderId="28" xfId="3" quotePrefix="1" applyFont="1" applyBorder="1" applyAlignment="1">
      <alignment horizontal="left" vertical="center" wrapText="1"/>
    </xf>
    <xf numFmtId="0" fontId="38" fillId="6" borderId="38" xfId="11" applyFont="1" applyFill="1" applyBorder="1" applyAlignment="1">
      <alignment horizontal="left" vertical="center" wrapText="1"/>
    </xf>
    <xf numFmtId="0" fontId="38" fillId="6" borderId="45" xfId="11" applyFont="1" applyFill="1" applyBorder="1" applyAlignment="1">
      <alignment horizontal="left" vertical="center" wrapText="1"/>
    </xf>
    <xf numFmtId="0" fontId="38" fillId="6" borderId="39" xfId="11" applyFont="1" applyFill="1" applyBorder="1" applyAlignment="1">
      <alignment horizontal="left" vertical="center" wrapText="1"/>
    </xf>
    <xf numFmtId="49" fontId="8" fillId="0" borderId="28" xfId="3" quotePrefix="1" applyNumberFormat="1" applyFont="1" applyBorder="1" applyAlignment="1">
      <alignment horizontal="left" vertical="center" wrapText="1"/>
    </xf>
    <xf numFmtId="49" fontId="8" fillId="0" borderId="28" xfId="3" applyNumberFormat="1" applyFont="1" applyBorder="1" applyAlignment="1">
      <alignment horizontal="left" vertical="center" wrapText="1"/>
    </xf>
    <xf numFmtId="0" fontId="10" fillId="7" borderId="9" xfId="11" applyFont="1" applyFill="1" applyBorder="1" applyAlignment="1">
      <alignment horizontal="left" vertical="center" wrapText="1"/>
    </xf>
    <xf numFmtId="0" fontId="10" fillId="7" borderId="31" xfId="11" applyFont="1" applyFill="1" applyBorder="1" applyAlignment="1">
      <alignment horizontal="left" vertical="center" wrapText="1"/>
    </xf>
    <xf numFmtId="0" fontId="9" fillId="5" borderId="38" xfId="11" applyFont="1" applyFill="1" applyBorder="1" applyAlignment="1">
      <alignment horizontal="center" vertical="center" wrapText="1"/>
    </xf>
    <xf numFmtId="0" fontId="9" fillId="5" borderId="39" xfId="11" applyFont="1" applyFill="1" applyBorder="1" applyAlignment="1">
      <alignment horizontal="center" vertical="center" wrapText="1"/>
    </xf>
    <xf numFmtId="7" fontId="8" fillId="0" borderId="38" xfId="4" applyNumberFormat="1" applyFont="1" applyFill="1" applyBorder="1" applyAlignment="1">
      <alignment horizontal="center" vertical="center"/>
    </xf>
    <xf numFmtId="7" fontId="8" fillId="0" borderId="39" xfId="4" applyNumberFormat="1" applyFont="1" applyFill="1" applyBorder="1" applyAlignment="1">
      <alignment horizontal="center" vertical="center"/>
    </xf>
    <xf numFmtId="0" fontId="32" fillId="0" borderId="0" xfId="1" applyFont="1" applyAlignment="1">
      <alignment wrapText="1"/>
    </xf>
    <xf numFmtId="0" fontId="38" fillId="6" borderId="6" xfId="11" applyFont="1" applyFill="1" applyBorder="1" applyAlignment="1">
      <alignment horizontal="left" vertical="center" wrapText="1"/>
    </xf>
    <xf numFmtId="0" fontId="38" fillId="6" borderId="71" xfId="11" applyFont="1" applyFill="1" applyBorder="1" applyAlignment="1">
      <alignment horizontal="left" vertical="center" wrapText="1"/>
    </xf>
    <xf numFmtId="0" fontId="38" fillId="6" borderId="5" xfId="11" applyFont="1" applyFill="1" applyBorder="1" applyAlignment="1">
      <alignment horizontal="left" vertical="center" wrapText="1"/>
    </xf>
    <xf numFmtId="0" fontId="5" fillId="6" borderId="38" xfId="11" applyFont="1" applyFill="1" applyBorder="1" applyAlignment="1">
      <alignment horizontal="left" vertical="center" wrapText="1"/>
    </xf>
    <xf numFmtId="0" fontId="5" fillId="6" borderId="45" xfId="11" applyFont="1" applyFill="1" applyBorder="1" applyAlignment="1">
      <alignment horizontal="left" vertical="center" wrapText="1"/>
    </xf>
    <xf numFmtId="0" fontId="5" fillId="6" borderId="39" xfId="11" applyFont="1" applyFill="1" applyBorder="1" applyAlignment="1">
      <alignment horizontal="left" vertical="center" wrapText="1"/>
    </xf>
    <xf numFmtId="0" fontId="8" fillId="2" borderId="41" xfId="5" applyFont="1" applyFill="1" applyBorder="1" applyAlignment="1">
      <alignment horizontal="center" vertical="center" wrapText="1"/>
    </xf>
    <xf numFmtId="0" fontId="8" fillId="2" borderId="43" xfId="5" applyFont="1" applyFill="1" applyBorder="1" applyAlignment="1">
      <alignment horizontal="center" vertical="center" wrapText="1"/>
    </xf>
    <xf numFmtId="0" fontId="8" fillId="2" borderId="44" xfId="5" applyFont="1" applyFill="1" applyBorder="1" applyAlignment="1">
      <alignment horizontal="center" vertical="center" wrapText="1"/>
    </xf>
    <xf numFmtId="0" fontId="8" fillId="2" borderId="69" xfId="5" applyFont="1" applyFill="1" applyBorder="1" applyAlignment="1">
      <alignment horizontal="center" vertical="center" wrapText="1"/>
    </xf>
    <xf numFmtId="0" fontId="8" fillId="2" borderId="67" xfId="5" applyFont="1" applyFill="1" applyBorder="1" applyAlignment="1">
      <alignment horizontal="center" vertical="center" wrapText="1"/>
    </xf>
    <xf numFmtId="0" fontId="8" fillId="2" borderId="68" xfId="5" applyFont="1" applyFill="1" applyBorder="1" applyAlignment="1">
      <alignment horizontal="center" vertical="center" wrapText="1"/>
    </xf>
    <xf numFmtId="0" fontId="16" fillId="0" borderId="51" xfId="3" applyFont="1" applyBorder="1" applyAlignment="1">
      <alignment horizontal="center" vertical="center"/>
    </xf>
    <xf numFmtId="0" fontId="8" fillId="0" borderId="9" xfId="3" applyFont="1" applyBorder="1" applyAlignment="1">
      <alignment horizontal="left" vertical="center" wrapText="1"/>
    </xf>
    <xf numFmtId="0" fontId="8" fillId="0" borderId="31" xfId="3" applyFont="1" applyBorder="1" applyAlignment="1">
      <alignment horizontal="center" vertical="center" textRotation="90" wrapText="1"/>
    </xf>
    <xf numFmtId="0" fontId="8" fillId="0" borderId="28" xfId="3" applyFont="1" applyBorder="1" applyAlignment="1">
      <alignment horizontal="center" vertical="center" textRotation="90" wrapText="1"/>
    </xf>
    <xf numFmtId="0" fontId="10" fillId="0" borderId="39" xfId="3" applyFont="1" applyBorder="1" applyAlignment="1">
      <alignment horizontal="left" wrapText="1"/>
    </xf>
    <xf numFmtId="0" fontId="10" fillId="0" borderId="28" xfId="3" applyFont="1" applyBorder="1" applyAlignment="1">
      <alignment horizontal="left" wrapText="1"/>
    </xf>
    <xf numFmtId="0" fontId="10" fillId="0" borderId="9" xfId="3" applyFont="1" applyBorder="1" applyAlignment="1">
      <alignment horizontal="left" wrapText="1"/>
    </xf>
    <xf numFmtId="0" fontId="10" fillId="0" borderId="8" xfId="3" applyFont="1" applyBorder="1" applyAlignment="1">
      <alignment horizontal="left" wrapText="1"/>
    </xf>
    <xf numFmtId="0" fontId="8" fillId="0" borderId="31" xfId="3" applyFont="1" applyBorder="1" applyAlignment="1">
      <alignment horizontal="left" vertical="center" wrapText="1"/>
    </xf>
    <xf numFmtId="0" fontId="61" fillId="2" borderId="3" xfId="5" applyFont="1" applyFill="1" applyBorder="1" applyAlignment="1" applyProtection="1">
      <alignment horizontal="center" vertical="center"/>
    </xf>
    <xf numFmtId="0" fontId="61" fillId="2" borderId="4" xfId="5" applyFont="1" applyFill="1" applyBorder="1" applyAlignment="1" applyProtection="1">
      <alignment horizontal="center" vertical="center"/>
    </xf>
    <xf numFmtId="0" fontId="61" fillId="2" borderId="2" xfId="5" applyFont="1" applyFill="1" applyBorder="1" applyAlignment="1" applyProtection="1">
      <alignment horizontal="center" vertical="center"/>
    </xf>
  </cellXfs>
  <cellStyles count="12">
    <cellStyle name="Komma 2" xfId="8" xr:uid="{00000000-0005-0000-0000-000000000000}"/>
    <cellStyle name="Link" xfId="5" builtinId="8"/>
    <cellStyle name="Standard" xfId="0" builtinId="0"/>
    <cellStyle name="Standard 2" xfId="6" xr:uid="{00000000-0005-0000-0000-000003000000}"/>
    <cellStyle name="Standard 2 2" xfId="3" xr:uid="{00000000-0005-0000-0000-000004000000}"/>
    <cellStyle name="Standard 2 2 2" xfId="11" xr:uid="{7DD196DD-CE80-497B-918A-A6A1E1512ADF}"/>
    <cellStyle name="Standard 2 3" xfId="10" xr:uid="{9A2A0A75-3CCC-4BF4-9E0C-9FECC0326C7A}"/>
    <cellStyle name="Standard 3" xfId="2" xr:uid="{00000000-0005-0000-0000-000005000000}"/>
    <cellStyle name="Standard 3 2" xfId="1" xr:uid="{00000000-0005-0000-0000-000006000000}"/>
    <cellStyle name="Währung 2" xfId="4" xr:uid="{00000000-0005-0000-0000-000007000000}"/>
    <cellStyle name="Währung 3" xfId="7" xr:uid="{00000000-0005-0000-0000-000008000000}"/>
    <cellStyle name="Währung 3 2" xfId="9" xr:uid="{00000000-0005-0000-0000-000009000000}"/>
  </cellStyles>
  <dxfs count="55">
    <dxf>
      <font>
        <b/>
        <i val="0"/>
      </font>
      <fill>
        <patternFill>
          <bgColor rgb="FFFFC000"/>
        </patternFill>
      </fill>
      <border>
        <left style="thin">
          <color auto="1"/>
        </left>
        <right style="thin">
          <color auto="1"/>
        </right>
        <top style="thin">
          <color auto="1"/>
        </top>
        <bottom style="thin">
          <color auto="1"/>
        </bottom>
        <vertical/>
        <horizontal/>
      </border>
    </dxf>
    <dxf>
      <border>
        <right style="thin">
          <color auto="1"/>
        </right>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border>
    </dxf>
    <dxf>
      <fill>
        <patternFill>
          <bgColor theme="4" tint="0.79998168889431442"/>
        </patternFill>
      </fill>
      <border>
        <left style="thin">
          <color auto="1"/>
        </left>
        <right style="thin">
          <color auto="1"/>
        </right>
        <top style="thin">
          <color auto="1"/>
        </top>
        <bottom style="thin">
          <color auto="1"/>
        </bottom>
      </border>
    </dxf>
    <dxf>
      <fill>
        <patternFill>
          <bgColor rgb="FFFFFF00"/>
        </patternFill>
      </fill>
    </dxf>
    <dxf>
      <fill>
        <patternFill>
          <bgColor theme="9" tint="0.59996337778862885"/>
        </patternFill>
      </fill>
    </dxf>
    <dxf>
      <font>
        <b/>
        <i val="0"/>
      </font>
      <fill>
        <patternFill>
          <bgColor rgb="FFFFC000"/>
        </patternFill>
      </fill>
      <border>
        <left/>
        <right style="thin">
          <color auto="1"/>
        </right>
        <top style="thin">
          <color auto="1"/>
        </top>
        <bottom style="thin">
          <color auto="1"/>
        </bottom>
        <vertical/>
        <horizontal/>
      </border>
    </dxf>
    <dxf>
      <fill>
        <patternFill>
          <bgColor theme="9" tint="0.59996337778862885"/>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C000"/>
        </patternFill>
      </fill>
    </dxf>
    <dxf>
      <font>
        <b/>
        <i val="0"/>
      </font>
      <fill>
        <patternFill>
          <bgColor rgb="FFFFFF00"/>
        </patternFill>
      </fill>
    </dxf>
    <dxf>
      <font>
        <b/>
        <i val="0"/>
      </font>
      <fill>
        <patternFill>
          <bgColor rgb="FFFFC000"/>
        </patternFill>
      </fill>
    </dxf>
    <dxf>
      <font>
        <b/>
        <i val="0"/>
      </font>
    </dxf>
    <dxf>
      <font>
        <b/>
        <i val="0"/>
      </font>
      <fill>
        <patternFill>
          <bgColor rgb="FFFFFF00"/>
        </patternFill>
      </fill>
    </dxf>
    <dxf>
      <font>
        <b val="0"/>
        <i val="0"/>
      </font>
      <fill>
        <patternFill>
          <bgColor theme="9" tint="0.59996337778862885"/>
        </patternFill>
      </fill>
      <border>
        <left style="thin">
          <color auto="1"/>
        </left>
        <right style="thin">
          <color auto="1"/>
        </right>
        <top style="thin">
          <color auto="1"/>
        </top>
        <bottom style="thin">
          <color auto="1"/>
        </bottom>
        <vertical/>
        <horizontal/>
      </border>
    </dxf>
    <dxf>
      <fill>
        <patternFill>
          <bgColor rgb="FF92D050"/>
        </patternFill>
      </fill>
    </dxf>
    <dxf>
      <fill>
        <patternFill>
          <bgColor rgb="FFFFFF00"/>
        </patternFill>
      </fill>
    </dxf>
    <dxf>
      <font>
        <color auto="1"/>
      </font>
      <fill>
        <patternFill>
          <bgColor rgb="FFFFFF00"/>
        </patternFill>
      </fill>
    </dxf>
    <dxf>
      <fill>
        <patternFill>
          <bgColor theme="4" tint="0.59996337778862885"/>
        </patternFill>
      </fill>
    </dxf>
    <dxf>
      <fill>
        <patternFill>
          <bgColor theme="4" tint="0.59996337778862885"/>
        </patternFill>
      </fill>
    </dxf>
    <dxf>
      <font>
        <b/>
        <i val="0"/>
      </font>
      <fill>
        <patternFill>
          <bgColor theme="4" tint="0.59996337778862885"/>
        </patternFill>
      </fill>
    </dxf>
    <dxf>
      <fill>
        <patternFill>
          <bgColor theme="4" tint="0.59996337778862885"/>
        </patternFill>
      </fill>
    </dxf>
    <dxf>
      <fill>
        <patternFill>
          <bgColor theme="4" tint="0.59996337778862885"/>
        </patternFill>
      </fill>
    </dxf>
    <dxf>
      <font>
        <b/>
        <i val="0"/>
      </font>
      <fill>
        <patternFill>
          <bgColor theme="4" tint="0.59996337778862885"/>
        </patternFill>
      </fill>
    </dxf>
    <dxf>
      <fill>
        <patternFill>
          <bgColor theme="4" tint="0.59996337778862885"/>
        </patternFill>
      </fill>
    </dxf>
    <dxf>
      <fill>
        <patternFill>
          <bgColor theme="4" tint="0.59996337778862885"/>
        </patternFill>
      </fill>
    </dxf>
    <dxf>
      <font>
        <b/>
        <i val="0"/>
      </font>
      <fill>
        <patternFill>
          <bgColor rgb="FFCCFFCC"/>
        </patternFill>
      </fill>
    </dxf>
    <dxf>
      <font>
        <b/>
        <i val="0"/>
      </font>
      <fill>
        <patternFill>
          <bgColor theme="9" tint="0.59996337778862885"/>
        </patternFill>
      </fill>
    </dxf>
    <dxf>
      <font>
        <b/>
        <i val="0"/>
      </font>
      <fill>
        <patternFill>
          <bgColor theme="9" tint="0.39994506668294322"/>
        </patternFill>
      </fill>
    </dxf>
    <dxf>
      <fill>
        <patternFill>
          <bgColor rgb="FFF3D9C3"/>
        </patternFill>
      </fill>
    </dxf>
    <dxf>
      <font>
        <b/>
        <i val="0"/>
      </font>
      <fill>
        <patternFill>
          <bgColor theme="4" tint="0.59996337778862885"/>
        </patternFill>
      </fill>
    </dxf>
    <dxf>
      <font>
        <b/>
        <i val="0"/>
      </font>
      <fill>
        <patternFill>
          <bgColor theme="4" tint="0.59996337778862885"/>
        </patternFill>
      </fill>
    </dxf>
    <dxf>
      <fill>
        <patternFill>
          <bgColor rgb="FFFFC000"/>
        </patternFill>
      </fill>
    </dxf>
    <dxf>
      <fill>
        <patternFill>
          <bgColor rgb="FF92D050"/>
        </patternFill>
      </fill>
    </dxf>
    <dxf>
      <fill>
        <patternFill>
          <bgColor rgb="FF92D050"/>
        </patternFill>
      </fill>
    </dxf>
    <dxf>
      <fill>
        <patternFill>
          <bgColor rgb="FFFFC000"/>
        </patternFill>
      </fill>
    </dxf>
    <dxf>
      <fill>
        <patternFill>
          <bgColor rgb="FFFFFF00"/>
        </patternFill>
      </fill>
    </dxf>
    <dxf>
      <font>
        <b/>
        <i val="0"/>
      </font>
      <fill>
        <patternFill>
          <bgColor rgb="FFFFC000"/>
        </patternFill>
      </fill>
      <border>
        <left style="thin">
          <color auto="1"/>
        </left>
        <right style="thin">
          <color auto="1"/>
        </right>
        <top style="thin">
          <color auto="1"/>
        </top>
        <bottom style="thin">
          <color auto="1"/>
        </bottom>
        <vertical/>
        <horizontal/>
      </border>
    </dxf>
    <dxf>
      <border>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border>
    </dxf>
    <dxf>
      <fill>
        <patternFill>
          <bgColor theme="4" tint="0.79998168889431442"/>
        </patternFill>
      </fill>
      <border>
        <left style="thin">
          <color auto="1"/>
        </left>
        <right style="thin">
          <color auto="1"/>
        </right>
        <top style="thin">
          <color auto="1"/>
        </top>
        <bottom style="thin">
          <color auto="1"/>
        </bottom>
      </border>
    </dxf>
    <dxf>
      <fill>
        <patternFill>
          <bgColor theme="4" tint="0.79998168889431442"/>
        </patternFill>
      </fill>
      <border>
        <left style="thin">
          <color auto="1"/>
        </left>
        <right style="thin">
          <color auto="1"/>
        </right>
        <top style="thin">
          <color auto="1"/>
        </top>
        <bottom style="thin">
          <color auto="1"/>
        </bottom>
      </border>
    </dxf>
    <dxf>
      <fill>
        <patternFill>
          <bgColor theme="9" tint="0.79998168889431442"/>
        </patternFill>
      </fill>
    </dxf>
    <dxf>
      <font>
        <b/>
        <i val="0"/>
      </font>
      <fill>
        <patternFill>
          <bgColor rgb="FFFFC000"/>
        </patternFill>
      </fill>
      <border>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rgb="FFFFFF00"/>
        </patternFill>
      </fill>
    </dxf>
    <dxf>
      <font>
        <b/>
        <i val="0"/>
      </font>
      <fill>
        <patternFill>
          <bgColor rgb="FFFFFF00"/>
        </patternFill>
      </fill>
    </dxf>
    <dxf>
      <font>
        <b/>
        <i val="0"/>
      </font>
    </dxf>
    <dxf>
      <font>
        <b/>
        <i val="0"/>
      </font>
      <fill>
        <patternFill>
          <bgColor rgb="FFFFC000"/>
        </patternFill>
      </fill>
    </dxf>
    <dxf>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rgb="FF92D050"/>
        </patternFill>
      </fill>
    </dxf>
    <dxf>
      <fill>
        <patternFill>
          <bgColor rgb="FFFFFF00"/>
        </patternFill>
      </fill>
    </dxf>
    <dxf>
      <font>
        <b/>
        <i val="0"/>
        <color auto="1"/>
      </font>
      <fill>
        <patternFill>
          <bgColor rgb="FFFFFF00"/>
        </patternFill>
      </fill>
    </dxf>
  </dxfs>
  <tableStyles count="0" defaultTableStyle="TableStyleMedium2" defaultPivotStyle="PivotStyleLight16"/>
  <colors>
    <mruColors>
      <color rgb="FFFFFF00"/>
      <color rgb="FFF3D9C3"/>
      <color rgb="FFF5DECB"/>
      <color rgb="FFEFCAAB"/>
      <color rgb="FFCCFF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bwsb.at/zwischenfr%C3%BCchte+2400++3500227" TargetMode="External"/><Relationship Id="rId2" Type="http://schemas.openxmlformats.org/officeDocument/2006/relationships/image" Target="../media/image1.png"/><Relationship Id="rId1" Type="http://schemas.openxmlformats.org/officeDocument/2006/relationships/hyperlink" Target="https://ooe.lko.at/pflanzen+2400++1298097"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3</xdr:col>
      <xdr:colOff>95250</xdr:colOff>
      <xdr:row>0</xdr:row>
      <xdr:rowOff>21166</xdr:rowOff>
    </xdr:from>
    <xdr:to>
      <xdr:col>6</xdr:col>
      <xdr:colOff>467314</xdr:colOff>
      <xdr:row>0</xdr:row>
      <xdr:rowOff>639607</xdr:rowOff>
    </xdr:to>
    <xdr:pic>
      <xdr:nvPicPr>
        <xdr:cNvPr id="2" name="Grafik 1">
          <a:hlinkClick xmlns:r="http://schemas.openxmlformats.org/officeDocument/2006/relationships" r:id="rId1"/>
          <a:extLst>
            <a:ext uri="{FF2B5EF4-FFF2-40B4-BE49-F238E27FC236}">
              <a16:creationId xmlns:a16="http://schemas.microsoft.com/office/drawing/2014/main" id="{00000000-0008-0000-0000-00000108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2497667" y="21166"/>
          <a:ext cx="2880314" cy="618441"/>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xdr:spPr>
    </xdr:pic>
    <xdr:clientData/>
  </xdr:twoCellAnchor>
  <xdr:twoCellAnchor editAs="oneCell">
    <xdr:from>
      <xdr:col>14</xdr:col>
      <xdr:colOff>42333</xdr:colOff>
      <xdr:row>0</xdr:row>
      <xdr:rowOff>63500</xdr:rowOff>
    </xdr:from>
    <xdr:to>
      <xdr:col>16</xdr:col>
      <xdr:colOff>825500</xdr:colOff>
      <xdr:row>0</xdr:row>
      <xdr:rowOff>591185</xdr:rowOff>
    </xdr:to>
    <xdr:pic>
      <xdr:nvPicPr>
        <xdr:cNvPr id="3" name="Grafik 2">
          <a:hlinkClick xmlns:r="http://schemas.openxmlformats.org/officeDocument/2006/relationships" r:id="rId3"/>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4"/>
        <a:stretch>
          <a:fillRect/>
        </a:stretch>
      </xdr:blipFill>
      <xdr:spPr>
        <a:xfrm>
          <a:off x="12784666" y="63500"/>
          <a:ext cx="2455334" cy="52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1773766</xdr:colOff>
      <xdr:row>0</xdr:row>
      <xdr:rowOff>144991</xdr:rowOff>
    </xdr:from>
    <xdr:ext cx="3910894" cy="707453"/>
    <xdr:pic>
      <xdr:nvPicPr>
        <xdr:cNvPr id="2" name="Grafik 1">
          <a:extLst>
            <a:ext uri="{FF2B5EF4-FFF2-40B4-BE49-F238E27FC236}">
              <a16:creationId xmlns:a16="http://schemas.microsoft.com/office/drawing/2014/main" id="{0FF4C9DB-F1C6-4D33-81E4-C6F98F5C1F9C}"/>
            </a:ext>
          </a:extLst>
        </xdr:cNvPr>
        <xdr:cNvPicPr>
          <a:picLocks noChangeAspect="1"/>
        </xdr:cNvPicPr>
      </xdr:nvPicPr>
      <xdr:blipFill>
        <a:blip xmlns:r="http://schemas.openxmlformats.org/officeDocument/2006/relationships" r:embed="rId1"/>
        <a:stretch>
          <a:fillRect/>
        </a:stretch>
      </xdr:blipFill>
      <xdr:spPr>
        <a:xfrm>
          <a:off x="9546166" y="144991"/>
          <a:ext cx="3910894" cy="707453"/>
        </a:xfrm>
        <a:prstGeom prst="rect">
          <a:avLst/>
        </a:prstGeom>
      </xdr:spPr>
    </xdr:pic>
    <xdr:clientData/>
  </xdr:oneCellAnchor>
  <xdr:twoCellAnchor>
    <xdr:from>
      <xdr:col>0</xdr:col>
      <xdr:colOff>1036108</xdr:colOff>
      <xdr:row>0</xdr:row>
      <xdr:rowOff>157691</xdr:rowOff>
    </xdr:from>
    <xdr:to>
      <xdr:col>1</xdr:col>
      <xdr:colOff>701435</xdr:colOff>
      <xdr:row>3</xdr:row>
      <xdr:rowOff>9651</xdr:rowOff>
    </xdr:to>
    <xdr:pic>
      <xdr:nvPicPr>
        <xdr:cNvPr id="3" name="Grafik 2">
          <a:extLst>
            <a:ext uri="{FF2B5EF4-FFF2-40B4-BE49-F238E27FC236}">
              <a16:creationId xmlns:a16="http://schemas.microsoft.com/office/drawing/2014/main" id="{46C1C997-A223-48DC-8180-34DE15E4032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036108" y="157691"/>
          <a:ext cx="3103852" cy="62348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imon.kriegner-schramml@lk-ooe.at" TargetMode="External"/><Relationship Id="rId1" Type="http://schemas.openxmlformats.org/officeDocument/2006/relationships/hyperlink" Target="https://www.bwsb.at/"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6.bin"/><Relationship Id="rId1" Type="http://schemas.openxmlformats.org/officeDocument/2006/relationships/hyperlink" Target="https://www.ages.at/pflanze/saat-und-pflanzgut/biosaatgut-datenbank" TargetMode="External"/><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U30"/>
  <sheetViews>
    <sheetView tabSelected="1" zoomScale="80" zoomScaleNormal="80" workbookViewId="0">
      <selection activeCell="C12" sqref="C12:H12"/>
    </sheetView>
  </sheetViews>
  <sheetFormatPr baseColWidth="10" defaultRowHeight="14.25" x14ac:dyDescent="0.2"/>
  <cols>
    <col min="2" max="2" width="9.625" customWidth="1"/>
    <col min="6" max="6" width="12.125" customWidth="1"/>
    <col min="8" max="8" width="15.875" customWidth="1"/>
    <col min="10" max="10" width="15.5" customWidth="1"/>
    <col min="12" max="12" width="14.75" customWidth="1"/>
    <col min="14" max="14" width="12.75" customWidth="1"/>
    <col min="20" max="20" width="13.375" customWidth="1"/>
    <col min="21" max="21" width="14.75" customWidth="1"/>
  </cols>
  <sheetData>
    <row r="1" spans="1:20" ht="53.25" customHeight="1" thickBot="1" x14ac:dyDescent="0.25">
      <c r="A1" s="506" t="s">
        <v>643</v>
      </c>
      <c r="B1" s="507"/>
      <c r="C1" s="507"/>
      <c r="D1" s="507"/>
      <c r="E1" s="507"/>
      <c r="F1" s="507"/>
      <c r="G1" s="507"/>
      <c r="H1" s="507"/>
      <c r="I1" s="507"/>
      <c r="J1" s="507"/>
      <c r="K1" s="507"/>
      <c r="L1" s="507"/>
      <c r="M1" s="507"/>
      <c r="N1" s="507"/>
      <c r="O1" s="507"/>
      <c r="P1" s="507"/>
      <c r="Q1" s="507"/>
      <c r="R1" s="507"/>
      <c r="S1" s="507"/>
      <c r="T1" s="508"/>
    </row>
    <row r="2" spans="1:20" ht="28.5" customHeight="1" thickBot="1" x14ac:dyDescent="0.25">
      <c r="A2" s="161" t="s">
        <v>302</v>
      </c>
      <c r="B2" s="516" t="s">
        <v>303</v>
      </c>
      <c r="C2" s="517"/>
      <c r="D2" s="145"/>
      <c r="E2" s="512" t="s">
        <v>305</v>
      </c>
      <c r="F2" s="513"/>
      <c r="G2" s="513"/>
      <c r="H2" s="514" t="s">
        <v>304</v>
      </c>
      <c r="I2" s="514"/>
      <c r="J2" s="515"/>
      <c r="L2" s="201" t="s">
        <v>311</v>
      </c>
      <c r="M2" s="204">
        <v>20260616</v>
      </c>
      <c r="T2" s="147"/>
    </row>
    <row r="3" spans="1:20" x14ac:dyDescent="0.2">
      <c r="A3" s="146"/>
      <c r="B3" s="159"/>
      <c r="D3" s="160"/>
      <c r="E3" s="160"/>
      <c r="F3" s="160"/>
      <c r="G3" s="159"/>
      <c r="T3" s="147"/>
    </row>
    <row r="4" spans="1:20" ht="15.75" x14ac:dyDescent="0.25">
      <c r="A4" s="509" t="s">
        <v>368</v>
      </c>
      <c r="B4" s="510"/>
      <c r="C4" s="510"/>
      <c r="D4" s="510"/>
      <c r="E4" s="510"/>
      <c r="F4" s="510"/>
      <c r="G4" s="510"/>
      <c r="H4" s="510"/>
      <c r="I4" s="510"/>
      <c r="J4" s="510"/>
      <c r="K4" s="510"/>
      <c r="L4" s="510"/>
      <c r="M4" s="510"/>
      <c r="N4" s="510"/>
      <c r="O4" s="510"/>
      <c r="P4" s="510"/>
      <c r="Q4" s="510"/>
      <c r="R4" s="510"/>
      <c r="S4" s="510"/>
      <c r="T4" s="511"/>
    </row>
    <row r="5" spans="1:20" ht="15" customHeight="1" x14ac:dyDescent="0.2">
      <c r="A5" s="494" t="s">
        <v>297</v>
      </c>
      <c r="B5" s="495"/>
      <c r="C5" s="495"/>
      <c r="D5" s="495"/>
      <c r="E5" s="495"/>
      <c r="F5" s="495"/>
      <c r="G5" s="495"/>
      <c r="H5" s="495"/>
      <c r="I5" s="495"/>
      <c r="J5" s="495"/>
      <c r="K5" s="495"/>
      <c r="L5" s="495"/>
      <c r="M5" s="495"/>
      <c r="N5" s="495"/>
      <c r="O5" s="495"/>
      <c r="P5" s="495"/>
      <c r="Q5" s="495"/>
      <c r="R5" s="495"/>
      <c r="S5" s="495"/>
      <c r="T5" s="496"/>
    </row>
    <row r="6" spans="1:20" x14ac:dyDescent="0.2">
      <c r="A6" s="494"/>
      <c r="B6" s="495"/>
      <c r="C6" s="495"/>
      <c r="D6" s="495"/>
      <c r="E6" s="495"/>
      <c r="F6" s="495"/>
      <c r="G6" s="495"/>
      <c r="H6" s="495"/>
      <c r="I6" s="495"/>
      <c r="J6" s="495"/>
      <c r="K6" s="495"/>
      <c r="L6" s="495"/>
      <c r="M6" s="495"/>
      <c r="N6" s="495"/>
      <c r="O6" s="495"/>
      <c r="P6" s="495"/>
      <c r="Q6" s="495"/>
      <c r="R6" s="495"/>
      <c r="S6" s="495"/>
      <c r="T6" s="496"/>
    </row>
    <row r="7" spans="1:20" ht="15" thickBot="1" x14ac:dyDescent="0.25">
      <c r="A7" s="146"/>
      <c r="T7" s="147"/>
    </row>
    <row r="8" spans="1:20" ht="32.25" customHeight="1" thickBot="1" x14ac:dyDescent="0.25">
      <c r="A8" s="518" t="s">
        <v>301</v>
      </c>
      <c r="B8" s="519"/>
      <c r="C8" s="519"/>
      <c r="D8" s="519"/>
      <c r="E8" s="519"/>
      <c r="F8" s="519"/>
      <c r="G8" s="519"/>
      <c r="H8" s="519"/>
      <c r="I8" s="519"/>
      <c r="J8" s="520"/>
      <c r="L8" s="491" t="s">
        <v>1052</v>
      </c>
      <c r="M8" s="492"/>
      <c r="N8" s="492"/>
      <c r="O8" s="492"/>
      <c r="P8" s="492"/>
      <c r="Q8" s="492"/>
      <c r="R8" s="492"/>
      <c r="S8" s="492"/>
      <c r="T8" s="493"/>
    </row>
    <row r="9" spans="1:20" ht="15" customHeight="1" x14ac:dyDescent="0.25">
      <c r="A9" s="468" t="s">
        <v>1053</v>
      </c>
      <c r="B9" s="469"/>
      <c r="C9" s="469"/>
      <c r="D9" s="469"/>
      <c r="E9" s="469"/>
      <c r="F9" s="469"/>
      <c r="G9" s="469"/>
      <c r="H9" s="469"/>
      <c r="I9" s="469"/>
      <c r="J9" s="470"/>
      <c r="L9" s="146"/>
      <c r="Q9" s="329"/>
      <c r="R9" s="329"/>
      <c r="S9" s="329"/>
      <c r="T9" s="330"/>
    </row>
    <row r="10" spans="1:20" ht="15" customHeight="1" x14ac:dyDescent="0.2">
      <c r="A10" s="146"/>
      <c r="J10" s="147"/>
      <c r="L10" s="494" t="s">
        <v>624</v>
      </c>
      <c r="M10" s="495"/>
      <c r="N10" s="495"/>
      <c r="O10" s="495"/>
      <c r="P10" s="495"/>
      <c r="Q10" s="495"/>
      <c r="R10" s="495"/>
      <c r="S10" s="495"/>
      <c r="T10" s="496"/>
    </row>
    <row r="11" spans="1:20" ht="15.75" customHeight="1" thickBot="1" x14ac:dyDescent="0.3">
      <c r="A11" s="497" t="s">
        <v>534</v>
      </c>
      <c r="B11" s="498"/>
      <c r="C11" s="498"/>
      <c r="D11" s="498"/>
      <c r="E11" s="498"/>
      <c r="F11" s="498"/>
      <c r="G11" s="498"/>
      <c r="H11" s="498"/>
      <c r="I11" s="498"/>
      <c r="J11" s="499"/>
      <c r="L11" s="494"/>
      <c r="M11" s="495"/>
      <c r="N11" s="495"/>
      <c r="O11" s="495"/>
      <c r="P11" s="495"/>
      <c r="Q11" s="495"/>
      <c r="R11" s="495"/>
      <c r="S11" s="495"/>
      <c r="T11" s="496"/>
    </row>
    <row r="12" spans="1:20" ht="30.75" customHeight="1" thickBot="1" x14ac:dyDescent="0.25">
      <c r="A12" s="146"/>
      <c r="C12" s="650" t="s">
        <v>1069</v>
      </c>
      <c r="D12" s="651"/>
      <c r="E12" s="651"/>
      <c r="F12" s="651"/>
      <c r="G12" s="651"/>
      <c r="H12" s="652"/>
      <c r="J12" s="147"/>
      <c r="L12" s="497" t="s">
        <v>625</v>
      </c>
      <c r="M12" s="498"/>
      <c r="N12" s="498"/>
      <c r="O12" s="498"/>
      <c r="P12" s="498"/>
      <c r="Q12" s="498"/>
      <c r="R12" s="498"/>
      <c r="S12" s="498"/>
      <c r="T12" s="499"/>
    </row>
    <row r="13" spans="1:20" ht="15" thickBot="1" x14ac:dyDescent="0.25">
      <c r="A13" s="146"/>
      <c r="J13" s="147"/>
      <c r="L13" s="146"/>
      <c r="Q13" s="158"/>
      <c r="R13" s="158"/>
      <c r="S13" s="158"/>
      <c r="T13" s="328"/>
    </row>
    <row r="14" spans="1:20" ht="18.75" customHeight="1" x14ac:dyDescent="0.2">
      <c r="A14" s="497" t="s">
        <v>291</v>
      </c>
      <c r="B14" s="498"/>
      <c r="C14" s="498"/>
      <c r="D14" s="498"/>
      <c r="E14" s="498"/>
      <c r="F14" s="498"/>
      <c r="G14" s="498"/>
      <c r="H14" s="498"/>
      <c r="I14" s="498"/>
      <c r="J14" s="499"/>
      <c r="L14" s="500" t="s">
        <v>642</v>
      </c>
      <c r="M14" s="501"/>
      <c r="N14" s="501"/>
      <c r="O14" s="501"/>
      <c r="P14" s="501"/>
      <c r="Q14" s="501"/>
      <c r="R14" s="501"/>
      <c r="S14" s="501"/>
      <c r="T14" s="502"/>
    </row>
    <row r="15" spans="1:20" ht="15.75" thickBot="1" x14ac:dyDescent="0.3">
      <c r="A15" s="497" t="s">
        <v>292</v>
      </c>
      <c r="B15" s="498"/>
      <c r="C15" s="498"/>
      <c r="D15" s="498"/>
      <c r="E15" s="498"/>
      <c r="F15" s="498"/>
      <c r="G15" s="498"/>
      <c r="H15" s="498"/>
      <c r="I15" s="498"/>
      <c r="J15" s="499"/>
      <c r="L15" s="503"/>
      <c r="M15" s="504"/>
      <c r="N15" s="504"/>
      <c r="O15" s="504"/>
      <c r="P15" s="504"/>
      <c r="Q15" s="504"/>
      <c r="R15" s="504"/>
      <c r="S15" s="504"/>
      <c r="T15" s="505"/>
    </row>
    <row r="16" spans="1:20" ht="30.75" customHeight="1" thickBot="1" x14ac:dyDescent="0.25">
      <c r="A16" s="148"/>
      <c r="B16" s="453" t="s">
        <v>298</v>
      </c>
      <c r="C16" s="454"/>
      <c r="D16" s="454"/>
      <c r="E16" s="454"/>
      <c r="F16" s="454"/>
      <c r="G16" s="454"/>
      <c r="H16" s="454"/>
      <c r="I16" s="455"/>
      <c r="J16" s="150"/>
      <c r="L16" s="148"/>
      <c r="M16" s="149"/>
      <c r="N16" s="149"/>
      <c r="O16" s="149"/>
      <c r="P16" s="149"/>
      <c r="Q16" s="149"/>
      <c r="R16" s="149"/>
      <c r="S16" s="149"/>
      <c r="T16" s="150"/>
    </row>
    <row r="17" spans="1:21" x14ac:dyDescent="0.2">
      <c r="A17" s="146"/>
      <c r="T17" s="147"/>
    </row>
    <row r="18" spans="1:21" ht="15" thickBot="1" x14ac:dyDescent="0.25">
      <c r="A18" s="146"/>
      <c r="T18" s="147"/>
    </row>
    <row r="19" spans="1:21" ht="32.25" customHeight="1" thickBot="1" x14ac:dyDescent="0.25">
      <c r="A19" s="471" t="s">
        <v>366</v>
      </c>
      <c r="B19" s="472"/>
      <c r="C19" s="472"/>
      <c r="D19" s="472"/>
      <c r="E19" s="472"/>
      <c r="F19" s="472"/>
      <c r="G19" s="472"/>
      <c r="H19" s="472"/>
      <c r="I19" s="472"/>
      <c r="J19" s="473"/>
      <c r="L19" s="465" t="s">
        <v>367</v>
      </c>
      <c r="M19" s="466"/>
      <c r="N19" s="466"/>
      <c r="O19" s="466"/>
      <c r="P19" s="466"/>
      <c r="Q19" s="466"/>
      <c r="R19" s="466"/>
      <c r="S19" s="466"/>
      <c r="T19" s="467"/>
    </row>
    <row r="20" spans="1:21" ht="15" x14ac:dyDescent="0.25">
      <c r="A20" s="468" t="s">
        <v>369</v>
      </c>
      <c r="B20" s="469"/>
      <c r="C20" s="469"/>
      <c r="D20" s="469"/>
      <c r="E20" s="469"/>
      <c r="F20" s="469"/>
      <c r="G20" s="469"/>
      <c r="H20" s="469"/>
      <c r="I20" s="469"/>
      <c r="J20" s="470"/>
      <c r="L20" s="468" t="s">
        <v>628</v>
      </c>
      <c r="M20" s="469"/>
      <c r="N20" s="469"/>
      <c r="O20" s="469"/>
      <c r="P20" s="469"/>
      <c r="Q20" s="469"/>
      <c r="R20" s="469"/>
      <c r="S20" s="469"/>
      <c r="T20" s="470"/>
    </row>
    <row r="21" spans="1:21" ht="29.25" customHeight="1" x14ac:dyDescent="0.25">
      <c r="A21" s="476" t="s">
        <v>371</v>
      </c>
      <c r="B21" s="477"/>
      <c r="C21" s="477"/>
      <c r="D21" s="477"/>
      <c r="E21" s="477"/>
      <c r="F21" s="477"/>
      <c r="G21" s="477"/>
      <c r="H21" s="477"/>
      <c r="I21" s="477"/>
      <c r="J21" s="478"/>
      <c r="L21" s="456" t="s">
        <v>370</v>
      </c>
      <c r="M21" s="457"/>
      <c r="N21" s="457"/>
      <c r="O21" s="457"/>
      <c r="P21" s="457"/>
      <c r="Q21" s="457"/>
      <c r="R21" s="457"/>
      <c r="S21" s="457"/>
      <c r="T21" s="458"/>
    </row>
    <row r="22" spans="1:21" ht="15" customHeight="1" x14ac:dyDescent="0.2">
      <c r="A22" s="479"/>
      <c r="B22" s="480"/>
      <c r="C22" s="480"/>
      <c r="D22" s="480"/>
      <c r="E22" s="480"/>
      <c r="F22" s="480"/>
      <c r="G22" s="480"/>
      <c r="H22" s="480"/>
      <c r="I22" s="480"/>
      <c r="J22" s="481"/>
      <c r="L22" s="485" t="s">
        <v>629</v>
      </c>
      <c r="M22" s="486"/>
      <c r="N22" s="486"/>
      <c r="O22" s="486"/>
      <c r="P22" s="486"/>
      <c r="Q22" s="486"/>
      <c r="R22" s="486"/>
      <c r="S22" s="486"/>
      <c r="T22" s="487"/>
    </row>
    <row r="23" spans="1:21" s="151" customFormat="1" ht="21.75" customHeight="1" x14ac:dyDescent="0.2">
      <c r="A23" s="412" t="s">
        <v>294</v>
      </c>
      <c r="B23" s="474"/>
      <c r="C23" s="474"/>
      <c r="D23" s="474"/>
      <c r="E23" s="474"/>
      <c r="F23" s="474"/>
      <c r="G23" s="474"/>
      <c r="H23" s="474"/>
      <c r="I23" s="474"/>
      <c r="J23" s="475"/>
      <c r="L23" s="479"/>
      <c r="M23" s="480"/>
      <c r="N23" s="480"/>
      <c r="O23" s="480"/>
      <c r="P23" s="480"/>
      <c r="Q23" s="480"/>
      <c r="R23" s="480"/>
      <c r="S23" s="480"/>
      <c r="T23" s="481"/>
    </row>
    <row r="24" spans="1:21" ht="28.5" customHeight="1" x14ac:dyDescent="0.2">
      <c r="A24" s="456" t="s">
        <v>293</v>
      </c>
      <c r="B24" s="457"/>
      <c r="C24" s="457"/>
      <c r="D24" s="457"/>
      <c r="E24" s="457"/>
      <c r="F24" s="457"/>
      <c r="G24" s="457"/>
      <c r="H24" s="457"/>
      <c r="I24" s="457"/>
      <c r="J24" s="458"/>
      <c r="L24" s="485" t="s">
        <v>293</v>
      </c>
      <c r="M24" s="486"/>
      <c r="N24" s="486"/>
      <c r="O24" s="486"/>
      <c r="P24" s="486"/>
      <c r="Q24" s="486"/>
      <c r="R24" s="486"/>
      <c r="S24" s="486"/>
      <c r="T24" s="487"/>
      <c r="U24" s="151"/>
    </row>
    <row r="25" spans="1:21" ht="15.75" customHeight="1" thickBot="1" x14ac:dyDescent="0.25">
      <c r="A25" s="146"/>
      <c r="J25" s="147"/>
      <c r="L25" s="152"/>
      <c r="M25" s="153"/>
      <c r="N25" s="153"/>
      <c r="O25" s="153"/>
      <c r="P25" s="153"/>
      <c r="Q25" s="153"/>
      <c r="R25" s="153"/>
      <c r="S25" s="153"/>
      <c r="T25" s="154"/>
      <c r="U25" s="155"/>
    </row>
    <row r="26" spans="1:21" s="151" customFormat="1" ht="30.75" customHeight="1" thickBot="1" x14ac:dyDescent="0.25">
      <c r="A26" s="156"/>
      <c r="C26" s="459" t="s">
        <v>627</v>
      </c>
      <c r="D26" s="460"/>
      <c r="E26" s="460"/>
      <c r="F26" s="460"/>
      <c r="G26" s="460"/>
      <c r="H26" s="461"/>
      <c r="J26" s="157"/>
      <c r="L26" s="156"/>
      <c r="N26" s="488" t="s">
        <v>299</v>
      </c>
      <c r="O26" s="489"/>
      <c r="P26" s="489"/>
      <c r="Q26" s="489"/>
      <c r="R26" s="490"/>
      <c r="T26" s="157"/>
    </row>
    <row r="27" spans="1:21" x14ac:dyDescent="0.2">
      <c r="A27" s="146"/>
      <c r="J27" s="147"/>
      <c r="L27" s="146"/>
      <c r="T27" s="147"/>
    </row>
    <row r="28" spans="1:21" ht="29.25" customHeight="1" x14ac:dyDescent="0.2">
      <c r="A28" s="456" t="s">
        <v>372</v>
      </c>
      <c r="B28" s="457"/>
      <c r="C28" s="457"/>
      <c r="D28" s="457"/>
      <c r="E28" s="457"/>
      <c r="F28" s="457"/>
      <c r="G28" s="457"/>
      <c r="H28" s="457"/>
      <c r="I28" s="457"/>
      <c r="J28" s="458"/>
      <c r="L28" s="456" t="s">
        <v>296</v>
      </c>
      <c r="M28" s="457"/>
      <c r="N28" s="457"/>
      <c r="O28" s="457"/>
      <c r="P28" s="457"/>
      <c r="Q28" s="457"/>
      <c r="R28" s="457"/>
      <c r="S28" s="457"/>
      <c r="T28" s="458"/>
      <c r="U28" s="158"/>
    </row>
    <row r="29" spans="1:21" ht="15" thickBot="1" x14ac:dyDescent="0.25">
      <c r="A29" s="146"/>
      <c r="J29" s="147"/>
      <c r="L29" s="146"/>
      <c r="T29" s="147"/>
    </row>
    <row r="30" spans="1:21" ht="30.75" customHeight="1" thickBot="1" x14ac:dyDescent="0.25">
      <c r="A30" s="148"/>
      <c r="B30" s="149"/>
      <c r="C30" s="462" t="s">
        <v>295</v>
      </c>
      <c r="D30" s="463"/>
      <c r="E30" s="463"/>
      <c r="F30" s="463"/>
      <c r="G30" s="463"/>
      <c r="H30" s="464"/>
      <c r="I30" s="149"/>
      <c r="J30" s="150"/>
      <c r="K30" s="149"/>
      <c r="L30" s="148"/>
      <c r="M30" s="149"/>
      <c r="N30" s="482" t="s">
        <v>300</v>
      </c>
      <c r="O30" s="483"/>
      <c r="P30" s="483"/>
      <c r="Q30" s="483"/>
      <c r="R30" s="484"/>
      <c r="S30" s="149"/>
      <c r="T30" s="150"/>
    </row>
  </sheetData>
  <sheetProtection algorithmName="SHA-512" hashValue="lV1tq/zdThbrAfNiI0E0IsHFNjiXbFMcO7iotsEqjEWGaHPhkQBuDkujbXwwiuCbaykSjw+FjHObn6PvxKJrug==" saltValue="2AMOIERzHORWBfKg+xo+Zg==" spinCount="100000" sheet="1" objects="1" scenarios="1"/>
  <mergeCells count="33">
    <mergeCell ref="L8:T8"/>
    <mergeCell ref="L10:T11"/>
    <mergeCell ref="L12:T12"/>
    <mergeCell ref="L14:T15"/>
    <mergeCell ref="A1:T1"/>
    <mergeCell ref="A4:T4"/>
    <mergeCell ref="A5:T6"/>
    <mergeCell ref="E2:G2"/>
    <mergeCell ref="H2:J2"/>
    <mergeCell ref="B2:C2"/>
    <mergeCell ref="A15:J15"/>
    <mergeCell ref="A8:J8"/>
    <mergeCell ref="A9:J9"/>
    <mergeCell ref="A11:J11"/>
    <mergeCell ref="A14:J14"/>
    <mergeCell ref="C12:H12"/>
    <mergeCell ref="N30:R30"/>
    <mergeCell ref="L22:T23"/>
    <mergeCell ref="L21:T21"/>
    <mergeCell ref="L24:T24"/>
    <mergeCell ref="N26:R26"/>
    <mergeCell ref="L19:T19"/>
    <mergeCell ref="L20:T20"/>
    <mergeCell ref="A19:J19"/>
    <mergeCell ref="A20:J20"/>
    <mergeCell ref="L28:T28"/>
    <mergeCell ref="A23:J23"/>
    <mergeCell ref="A21:J22"/>
    <mergeCell ref="B16:I16"/>
    <mergeCell ref="A24:J24"/>
    <mergeCell ref="C26:H26"/>
    <mergeCell ref="A28:J28"/>
    <mergeCell ref="C30:H30"/>
  </mergeCells>
  <hyperlinks>
    <hyperlink ref="C30:H30" location="'Zusammenfassung int. Prod.'!A1" display="► HIER gelangen Sie zur Zusammenfassung" xr:uid="{00000000-0004-0000-0000-000000000000}"/>
    <hyperlink ref="B16:H16" location="Anbauzeitpunkte!A1" display="Durch einen KLICK auf diesen Link ► gelangen Sie zu den Anbauzeitpunkten" xr:uid="{00000000-0004-0000-0000-000001000000}"/>
    <hyperlink ref="N30:R30" location="'Zusammenfassung BIO'!A1" display="► HIER gelangen Sie zur Zusammenfassung BIO" xr:uid="{00000000-0004-0000-0000-000002000000}"/>
    <hyperlink ref="C26:H26" location="'Begr.-Rechner int. Prod.'!A1" display="► HIER gelangen Sie gelangen Sie zum Begrünungsrechner" xr:uid="{00000000-0004-0000-0000-000003000000}"/>
    <hyperlink ref="N26:R26" location="'Begr.-Rechner BIO'!A1" display="► Hier gelangen Sie zum Begrünungsrechner BIO" xr:uid="{00000000-0004-0000-0000-000004000000}"/>
    <hyperlink ref="B2" r:id="rId1" xr:uid="{00000000-0004-0000-0000-000005000000}"/>
    <hyperlink ref="H2" r:id="rId2" xr:uid="{00000000-0004-0000-0000-000006000000}"/>
    <hyperlink ref="L14:T15" location="'Mischungen verfeinern'!Druckbereich" display="Durch einen Klick auf diesen Link ► gelangen Sie zum Tabellenblatt &quot;Mischungen verfeinern&quot;" xr:uid="{2D36EC04-A068-4D5F-A63A-588F9A4DCDB1}"/>
    <hyperlink ref="C12:H12" location="'Begrünungsliste 2026'!A1" display="Durch einen KLICK auf diesen Link ► gelangen Sie zur Begrünungsliste" xr:uid="{C734F7FB-EF1D-415C-91B9-D881ECD2D5AA}"/>
  </hyperlinks>
  <pageMargins left="0.7" right="0.7" top="0.78740157499999996" bottom="0.78740157499999996"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P40"/>
  <sheetViews>
    <sheetView zoomScale="85" zoomScaleNormal="85" workbookViewId="0">
      <selection activeCell="A4" sqref="A4"/>
    </sheetView>
  </sheetViews>
  <sheetFormatPr baseColWidth="10" defaultRowHeight="14.25" x14ac:dyDescent="0.2"/>
  <cols>
    <col min="1" max="1" width="27.375" customWidth="1"/>
    <col min="2" max="2" width="13" customWidth="1"/>
    <col min="3" max="3" width="13.5" customWidth="1"/>
    <col min="4" max="4" width="24.75" bestFit="1" customWidth="1"/>
    <col min="5" max="5" width="27.75" customWidth="1"/>
    <col min="6" max="6" width="18.875" customWidth="1"/>
    <col min="7" max="7" width="20.75" customWidth="1"/>
    <col min="8" max="8" width="19.375" customWidth="1"/>
    <col min="9" max="9" width="18.125" customWidth="1"/>
    <col min="10" max="13" width="16.625" customWidth="1"/>
    <col min="15" max="16" width="11" hidden="1" customWidth="1"/>
  </cols>
  <sheetData>
    <row r="1" spans="1:15" ht="39" customHeight="1" thickBot="1" x14ac:dyDescent="0.25">
      <c r="A1" s="548" t="str">
        <f>IF(OR('Begr.-Rechner BIO'!$A$2="Name der Mischung",'Begr.-Rechner BIO'!$A$2=""),"Zusammenfassung der gewählten Kulturen",CONCATENATE("Zusammenfassung der Komponeten der Mischung: ",'Begr.-Rechner BIO'!$A$2))</f>
        <v>Zusammenfassung der gewählten Kulturen</v>
      </c>
      <c r="B1" s="549"/>
      <c r="C1" s="549"/>
      <c r="D1" s="549"/>
      <c r="E1" s="549"/>
      <c r="F1" s="549"/>
      <c r="G1" s="549"/>
      <c r="H1" s="549"/>
      <c r="I1" s="550"/>
      <c r="J1" s="605" t="s">
        <v>1068</v>
      </c>
      <c r="K1" s="606"/>
      <c r="L1" s="533" t="s">
        <v>1056</v>
      </c>
      <c r="M1" s="600"/>
    </row>
    <row r="2" spans="1:15" ht="15" customHeight="1" thickBot="1" x14ac:dyDescent="0.25">
      <c r="I2" s="147"/>
      <c r="J2" s="607"/>
      <c r="K2" s="608"/>
      <c r="L2" s="601"/>
      <c r="M2" s="602"/>
    </row>
    <row r="3" spans="1:15" ht="58.5" customHeight="1" thickBot="1" x14ac:dyDescent="0.25">
      <c r="A3" s="220" t="s">
        <v>283</v>
      </c>
      <c r="B3" s="220" t="s">
        <v>287</v>
      </c>
      <c r="C3" s="220" t="s">
        <v>289</v>
      </c>
      <c r="D3" s="220" t="s">
        <v>284</v>
      </c>
      <c r="E3" s="219" t="str">
        <f>CONCATENATE("Kosten in € für die Gesamtfläche von ",'Begr.-Rechner BIO'!I2," ha")</f>
        <v>Kosten in € für die Gesamtfläche von  ha</v>
      </c>
      <c r="F3" s="539" t="s">
        <v>436</v>
      </c>
      <c r="G3" s="540"/>
      <c r="H3" s="611" t="s">
        <v>477</v>
      </c>
      <c r="I3" s="612"/>
      <c r="J3" s="609"/>
      <c r="K3" s="610"/>
      <c r="L3" s="603"/>
      <c r="M3" s="604"/>
    </row>
    <row r="4" spans="1:15" ht="26.25" customHeight="1" thickBot="1" x14ac:dyDescent="0.25">
      <c r="A4" s="143" t="str">
        <f>IF('Begr.-Rechner BIO'!$I$2&lt;&gt;"",CONCATENATE('Begr.-Rechner BIO'!$I$2," ha"),"")</f>
        <v/>
      </c>
      <c r="B4" s="268" t="str">
        <f>IF('Begr.-Rechner BIO'!$J$2&gt;0,CONCATENATE('Begr.-Rechner BIO'!$J$2, " kg/ha"),"")</f>
        <v/>
      </c>
      <c r="C4" s="143" t="str">
        <f>IF('Begr.-Rechner BIO'!$K$2&gt;0,CONCATENATE('Begr.-Rechner BIO'!$K$2," €"),"")</f>
        <v/>
      </c>
      <c r="D4" s="269" t="str">
        <f>IF('Begr.-Rechner BIO'!$L$2&gt;0,'Begr.-Rechner BIO'!$L$2,"")</f>
        <v/>
      </c>
      <c r="E4" s="143" t="str">
        <f>IF(ROUND(SUM(F7:F39),2)&gt;0,CONCATENATE(ROUND(SUM(F7:F39),2)," €"),"")</f>
        <v/>
      </c>
      <c r="F4" s="541" t="str">
        <f>IF(AND('BIO (2)'!AE3="",'BIO (2)'!AE4="",'BIO (2)'!AE5="",'BIO (2)'!AE6="",'BIO (2)'!AE7="",'BIO (2)'!AE8="",'BIO (2)'!AE9="",'BIO (2)'!J2&gt;0),'BIO (2)'!AE10,CONCATENATE('BIO (2)'!AE3,'BIO (2)'!AE4,'BIO (2)'!AE5,'BIO (2)'!AE6,'BIO (2)'!AE7,'BIO (2)'!AE8,'BIO (2)'!AE9))</f>
        <v/>
      </c>
      <c r="G4" s="542"/>
      <c r="H4" s="545" t="str">
        <f>IF(AND($D4&gt;0,$P$40=0),$P$40,IF(AND($D4&gt;0,$P$40&gt;0),$P$40,""))</f>
        <v/>
      </c>
      <c r="I4" s="546"/>
      <c r="J4" s="543" t="str">
        <f>IF('BIO (2)'!$X$3="ja","* zulässige Begrünungskulturen gem. Variante 6 beachten:
- Grünschnittroggen nach Saatgutgesetz,
- Wintererbse lt. Saatgutgesetz,
- Pannonische Wicke, Zottelwicke, Winterackerbohne, Winterrübsen (inkl. Perko)","")</f>
        <v/>
      </c>
      <c r="K4" s="543"/>
      <c r="L4" s="543"/>
      <c r="M4" s="543"/>
    </row>
    <row r="5" spans="1:15" ht="15" customHeight="1" thickBot="1" x14ac:dyDescent="0.25">
      <c r="F5" s="525"/>
      <c r="G5" s="525"/>
      <c r="H5" s="210"/>
      <c r="I5" s="221"/>
      <c r="J5" s="544"/>
      <c r="K5" s="544"/>
      <c r="L5" s="544"/>
      <c r="M5" s="544"/>
    </row>
    <row r="6" spans="1:15" ht="30" customHeight="1" thickBot="1" x14ac:dyDescent="0.25">
      <c r="A6" s="219" t="s">
        <v>286</v>
      </c>
      <c r="B6" s="219" t="s">
        <v>5</v>
      </c>
      <c r="C6" s="219" t="s">
        <v>1</v>
      </c>
      <c r="D6" s="219" t="s">
        <v>285</v>
      </c>
      <c r="E6" s="219" t="s">
        <v>290</v>
      </c>
      <c r="F6" s="219" t="s">
        <v>288</v>
      </c>
      <c r="G6" s="219" t="s">
        <v>307</v>
      </c>
      <c r="H6" s="539" t="s">
        <v>476</v>
      </c>
      <c r="I6" s="598"/>
      <c r="J6" s="544"/>
      <c r="K6" s="544"/>
      <c r="L6" s="544"/>
      <c r="M6" s="544"/>
    </row>
    <row r="7" spans="1:15" ht="24.95" customHeight="1" thickBot="1" x14ac:dyDescent="0.25">
      <c r="A7" s="333" t="str">
        <f t="array" ref="A7">IFERROR(INDEX('BIO (2)'!A:A,SMALL(IF('BIO (2)'!$E$3:$E$57&gt;0,ROW($3:$57)),ROW(A1))),"")</f>
        <v/>
      </c>
      <c r="B7" s="250" t="str">
        <f t="array" ref="B7">IFERROR(INDEX('BIO (2)'!E:E,SMALL(IF('BIO (2)'!$E$3:$E$57&gt;0,ROW($3:$57)),ROW(A1))),"")</f>
        <v/>
      </c>
      <c r="C7" s="250" t="str">
        <f t="array" ref="C7">IFERROR(INDEX('BIO (2)'!F:F,SMALL(IF('BIO (2)'!$E$3:$E$57&gt;0,ROW($3:$57)),ROW(A1))),"")</f>
        <v/>
      </c>
      <c r="D7" s="335" t="str">
        <f t="array" ref="D7">IFERROR(INDEX('BIO (2)'!G:G,SMALL(IF('BIO (2)'!$E$3:$E$57&gt;0,ROW($3:$57)),ROW(A1))),"")</f>
        <v/>
      </c>
      <c r="E7" s="250" t="str">
        <f t="array" ref="E7">IFERROR(INDEX('BIO (2)'!H:H,SMALL(IF('BIO (2)'!$E$3:$E$57&gt;0,ROW($3:$57)),ROW(A1))),"")</f>
        <v/>
      </c>
      <c r="F7" s="250" t="str">
        <f>IF(A7="","",C7*'Begr.-Rechner BIO'!$I$2)</f>
        <v/>
      </c>
      <c r="G7" s="250" t="str">
        <f>IFERROR(VLOOKUP(A7,'BIO (2)'!A3:I58,9,0),IF('BIO (2)'!I3="","",""))</f>
        <v/>
      </c>
      <c r="H7" s="551" t="s">
        <v>635</v>
      </c>
      <c r="I7" s="599" t="str">
        <f>'Begr.-Rechner BIO'!L8</f>
        <v>60 kg N ab Lager</v>
      </c>
      <c r="J7" s="547" t="str">
        <f>IF(AND(H4&gt;0.6,'Begr.-Rechner BIO'!J2&gt;0),"ACHTUNG Vorfruchtwirkung beachten: 
- ungenutzte ZWF &gt; 60 % Leguminosenanteil: 20 kg
- genutzte ZWF &gt; 60% Leguminosenanteil: 10 kg N
  HINWEIS: es zählt Bestand am Feld, dieser Hinweis ist ausschließlich als 
  Orientierungshilfe zu sehen.","")</f>
        <v/>
      </c>
      <c r="K7" s="544"/>
      <c r="L7" s="544"/>
      <c r="M7" s="544"/>
      <c r="O7" s="202">
        <f>IF($G7="Leguminose",D7,0)</f>
        <v>0</v>
      </c>
    </row>
    <row r="8" spans="1:15" ht="24.95" customHeight="1" thickBot="1" x14ac:dyDescent="0.25">
      <c r="A8" s="333" t="str">
        <f t="array" ref="A8">IFERROR(INDEX('BIO (2)'!A:A,SMALL(IF('BIO (2)'!$E$3:$E$57&gt;0,ROW($3:$57)),ROW(A2))),"")</f>
        <v/>
      </c>
      <c r="B8" s="250" t="str">
        <f t="array" ref="B8">IFERROR(INDEX('BIO (2)'!E:E,SMALL(IF('BIO (2)'!$E$3:$E$57&gt;0,ROW($3:$57)),ROW(A2))),"")</f>
        <v/>
      </c>
      <c r="C8" s="250" t="str">
        <f t="array" ref="C8">IFERROR(INDEX('BIO (2)'!F:F,SMALL(IF('BIO (2)'!$E$3:$E$57&gt;0,ROW($3:$57)),ROW(A2))),"")</f>
        <v/>
      </c>
      <c r="D8" s="335" t="str">
        <f t="array" ref="D8">IFERROR(INDEX('BIO (2)'!G:G,SMALL(IF('BIO (2)'!$E$3:$E$57&gt;0,ROW($3:$57)),ROW(A2))),"")</f>
        <v/>
      </c>
      <c r="E8" s="250" t="str">
        <f t="array" ref="E8">IFERROR(INDEX('BIO (2)'!H:H,SMALL(IF('BIO (2)'!$E$3:$E$57&gt;0,ROW($3:$57)),ROW(A2))),"")</f>
        <v/>
      </c>
      <c r="F8" s="250" t="str">
        <f>IF(A8="","",C8*'Begr.-Rechner BIO'!$I$2)</f>
        <v/>
      </c>
      <c r="G8" s="250" t="str">
        <f>IFERROR(VLOOKUP(A8,'BIO (2)'!A4:I59,9,0),IF('BIO (2)'!I4="","",""))</f>
        <v/>
      </c>
      <c r="H8" s="551"/>
      <c r="I8" s="599"/>
      <c r="J8" s="547"/>
      <c r="K8" s="544"/>
      <c r="L8" s="544"/>
      <c r="M8" s="544"/>
      <c r="O8" s="202">
        <f t="shared" ref="O8:O39" si="0">IF($G8="Leguminose",D8,0)</f>
        <v>0</v>
      </c>
    </row>
    <row r="9" spans="1:15" ht="24.95" customHeight="1" thickBot="1" x14ac:dyDescent="0.25">
      <c r="A9" s="333" t="str">
        <f t="array" ref="A9">IFERROR(INDEX('BIO (2)'!A:A,SMALL(IF('BIO (2)'!$E$3:$E$57&gt;0,ROW($3:$57)),ROW(A3))),"")</f>
        <v/>
      </c>
      <c r="B9" s="250" t="str">
        <f t="array" ref="B9">IFERROR(INDEX('BIO (2)'!E:E,SMALL(IF('BIO (2)'!$E$3:$E$57&gt;0,ROW($3:$57)),ROW(A3))),"")</f>
        <v/>
      </c>
      <c r="C9" s="250" t="str">
        <f t="array" ref="C9">IFERROR(INDEX('BIO (2)'!F:F,SMALL(IF('BIO (2)'!$E$3:$E$57&gt;0,ROW($3:$57)),ROW(A3))),"")</f>
        <v/>
      </c>
      <c r="D9" s="335" t="str">
        <f t="array" ref="D9">IFERROR(INDEX('BIO (2)'!G:G,SMALL(IF('BIO (2)'!$E$3:$E$57&gt;0,ROW($3:$57)),ROW(A3))),"")</f>
        <v/>
      </c>
      <c r="E9" s="250" t="str">
        <f t="array" ref="E9">IFERROR(INDEX('BIO (2)'!H:H,SMALL(IF('BIO (2)'!$E$3:$E$57&gt;0,ROW($3:$57)),ROW(A3))),"")</f>
        <v/>
      </c>
      <c r="F9" s="250" t="str">
        <f>IF(A9="","",C9*'Begr.-Rechner BIO'!$I$2)</f>
        <v/>
      </c>
      <c r="G9" s="250" t="str">
        <f>IFERROR(VLOOKUP(A9,'BIO (2)'!A5:I60,9,0),IF('BIO (2)'!I5="","",""))</f>
        <v/>
      </c>
      <c r="H9" s="551" t="s">
        <v>641</v>
      </c>
      <c r="I9" s="599" t="str">
        <f>'Begr.-Rechner BIO'!L10</f>
        <v>60 kg N ab Lager</v>
      </c>
      <c r="J9" s="547"/>
      <c r="K9" s="544"/>
      <c r="L9" s="544"/>
      <c r="M9" s="544"/>
      <c r="O9" s="202">
        <f t="shared" si="0"/>
        <v>0</v>
      </c>
    </row>
    <row r="10" spans="1:15" ht="24.95" customHeight="1" thickBot="1" x14ac:dyDescent="0.25">
      <c r="A10" s="333" t="str">
        <f t="array" ref="A10">IFERROR(INDEX('BIO (2)'!A:A,SMALL(IF('BIO (2)'!$E$3:$E$57&gt;0,ROW($3:$57)),ROW(A4))),"")</f>
        <v/>
      </c>
      <c r="B10" s="250" t="str">
        <f t="array" ref="B10">IFERROR(INDEX('BIO (2)'!E:E,SMALL(IF('BIO (2)'!$E$3:$E$57&gt;0,ROW($3:$57)),ROW(A4))),"")</f>
        <v/>
      </c>
      <c r="C10" s="250" t="str">
        <f t="array" ref="C10">IFERROR(INDEX('BIO (2)'!F:F,SMALL(IF('BIO (2)'!$E$3:$E$57&gt;0,ROW($3:$57)),ROW(A4))),"")</f>
        <v/>
      </c>
      <c r="D10" s="335" t="str">
        <f t="array" ref="D10">IFERROR(INDEX('BIO (2)'!G:G,SMALL(IF('BIO (2)'!$E$3:$E$57&gt;0,ROW($3:$57)),ROW(A4))),"")</f>
        <v/>
      </c>
      <c r="E10" s="250" t="str">
        <f t="array" ref="E10">IFERROR(INDEX('BIO (2)'!H:H,SMALL(IF('BIO (2)'!$E$3:$E$57&gt;0,ROW($3:$57)),ROW(A4))),"")</f>
        <v/>
      </c>
      <c r="F10" s="250" t="str">
        <f>IF(A10="","",C10*'Begr.-Rechner BIO'!$I$2)</f>
        <v/>
      </c>
      <c r="G10" s="250" t="str">
        <f>IFERROR(VLOOKUP(A10,'BIO (2)'!A6:I61,9,0),IF('BIO (2)'!I6="","",""))</f>
        <v/>
      </c>
      <c r="H10" s="551"/>
      <c r="I10" s="599"/>
      <c r="J10" s="547"/>
      <c r="K10" s="544"/>
      <c r="L10" s="544"/>
      <c r="M10" s="544"/>
      <c r="O10" s="202">
        <f t="shared" si="0"/>
        <v>0</v>
      </c>
    </row>
    <row r="11" spans="1:15" ht="24.95" customHeight="1" thickBot="1" x14ac:dyDescent="0.25">
      <c r="A11" s="333" t="str">
        <f t="array" ref="A11">IFERROR(INDEX('BIO (2)'!A:A,SMALL(IF('BIO (2)'!$E$3:$E$57&gt;0,ROW($3:$57)),ROW(A5))),"")</f>
        <v/>
      </c>
      <c r="B11" s="250" t="str">
        <f t="array" ref="B11">IFERROR(INDEX('BIO (2)'!E:E,SMALL(IF('BIO (2)'!$E$3:$E$57&gt;0,ROW($3:$57)),ROW(A5))),"")</f>
        <v/>
      </c>
      <c r="C11" s="250" t="str">
        <f t="array" ref="C11">IFERROR(INDEX('BIO (2)'!F:F,SMALL(IF('BIO (2)'!$E$3:$E$57&gt;0,ROW($3:$57)),ROW(A5))),"")</f>
        <v/>
      </c>
      <c r="D11" s="335" t="str">
        <f t="array" ref="D11">IFERROR(INDEX('BIO (2)'!G:G,SMALL(IF('BIO (2)'!$E$3:$E$57&gt;0,ROW($3:$57)),ROW(A5))),"")</f>
        <v/>
      </c>
      <c r="E11" s="250" t="str">
        <f t="array" ref="E11">IFERROR(INDEX('BIO (2)'!H:H,SMALL(IF('BIO (2)'!$E$3:$E$57&gt;0,ROW($3:$57)),ROW(A5))),"")</f>
        <v/>
      </c>
      <c r="F11" s="250" t="str">
        <f>IF(A11="","",C11*'Begr.-Rechner BIO'!$I$2)</f>
        <v/>
      </c>
      <c r="G11" s="250" t="str">
        <f>IFERROR(VLOOKUP(A11,'BIO (2)'!A7:I62,9,0),IF('BIO (2)'!I7="","",""))</f>
        <v/>
      </c>
      <c r="H11" s="551"/>
      <c r="I11" s="599"/>
      <c r="J11" s="547"/>
      <c r="K11" s="544"/>
      <c r="L11" s="544"/>
      <c r="M11" s="544"/>
      <c r="O11" s="202">
        <f t="shared" si="0"/>
        <v>0</v>
      </c>
    </row>
    <row r="12" spans="1:15" ht="24.95" customHeight="1" x14ac:dyDescent="0.2">
      <c r="A12" s="333" t="str">
        <f t="array" ref="A12">IFERROR(INDEX('BIO (2)'!A:A,SMALL(IF('BIO (2)'!$E$3:$E$57&gt;0,ROW($3:$57)),ROW(A6))),"")</f>
        <v/>
      </c>
      <c r="B12" s="250" t="str">
        <f t="array" ref="B12">IFERROR(INDEX('BIO (2)'!E:E,SMALL(IF('BIO (2)'!$E$3:$E$57&gt;0,ROW($3:$57)),ROW(A6))),"")</f>
        <v/>
      </c>
      <c r="C12" s="250" t="str">
        <f t="array" ref="C12">IFERROR(INDEX('BIO (2)'!F:F,SMALL(IF('BIO (2)'!$E$3:$E$57&gt;0,ROW($3:$57)),ROW(A6))),"")</f>
        <v/>
      </c>
      <c r="D12" s="335" t="str">
        <f t="array" ref="D12">IFERROR(INDEX('BIO (2)'!G:G,SMALL(IF('BIO (2)'!$E$3:$E$57&gt;0,ROW($3:$57)),ROW(A6))),"")</f>
        <v/>
      </c>
      <c r="E12" s="250" t="str">
        <f t="array" ref="E12">IFERROR(INDEX('BIO (2)'!H:H,SMALL(IF('BIO (2)'!$E$3:$E$57&gt;0,ROW($3:$57)),ROW(A6))),"")</f>
        <v/>
      </c>
      <c r="F12" s="250" t="str">
        <f>IF(A12="","",C12*'Begr.-Rechner BIO'!$I$2)</f>
        <v/>
      </c>
      <c r="G12" s="250" t="str">
        <f>IFERROR(VLOOKUP(A12,'BIO (2)'!A8:I63,9,0),IF('BIO (2)'!I8="","",""))</f>
        <v/>
      </c>
      <c r="H12" s="521" t="s">
        <v>636</v>
      </c>
      <c r="I12" s="522"/>
      <c r="J12" s="217"/>
      <c r="K12" s="218"/>
      <c r="O12" s="202">
        <f t="shared" si="0"/>
        <v>0</v>
      </c>
    </row>
    <row r="13" spans="1:15" ht="24.95" customHeight="1" x14ac:dyDescent="0.2">
      <c r="A13" s="333" t="str">
        <f t="array" ref="A13">IFERROR(INDEX('BIO (2)'!A:A,SMALL(IF('BIO (2)'!$E$3:$E$57&gt;0,ROW($3:$57)),ROW(A7))),"")</f>
        <v/>
      </c>
      <c r="B13" s="250" t="str">
        <f t="array" ref="B13">IFERROR(INDEX('BIO (2)'!E:E,SMALL(IF('BIO (2)'!$E$3:$E$57&gt;0,ROW($3:$57)),ROW(A7))),"")</f>
        <v/>
      </c>
      <c r="C13" s="250" t="str">
        <f t="array" ref="C13">IFERROR(INDEX('BIO (2)'!F:F,SMALL(IF('BIO (2)'!$E$3:$E$57&gt;0,ROW($3:$57)),ROW(A7))),"")</f>
        <v/>
      </c>
      <c r="D13" s="335" t="str">
        <f t="array" ref="D13">IFERROR(INDEX('BIO (2)'!G:G,SMALL(IF('BIO (2)'!$E$3:$E$57&gt;0,ROW($3:$57)),ROW(A7))),"")</f>
        <v/>
      </c>
      <c r="E13" s="250" t="str">
        <f t="array" ref="E13">IFERROR(INDEX('BIO (2)'!H:H,SMALL(IF('BIO (2)'!$E$3:$E$57&gt;0,ROW($3:$57)),ROW(A7))),"")</f>
        <v/>
      </c>
      <c r="F13" s="250" t="str">
        <f>IF(A13="","",C13*'Begr.-Rechner BIO'!$I$2)</f>
        <v/>
      </c>
      <c r="G13" s="250" t="str">
        <f>IFERROR(VLOOKUP(A13,'BIO (2)'!A9:I64,9,0),IF('BIO (2)'!I9="","",""))</f>
        <v/>
      </c>
      <c r="H13" s="476"/>
      <c r="I13" s="478"/>
      <c r="J13" s="217"/>
      <c r="K13" s="218"/>
      <c r="O13" s="202">
        <f t="shared" si="0"/>
        <v>0</v>
      </c>
    </row>
    <row r="14" spans="1:15" ht="24.95" customHeight="1" x14ac:dyDescent="0.2">
      <c r="A14" s="333" t="str">
        <f t="array" ref="A14">IFERROR(INDEX('BIO (2)'!A:A,SMALL(IF('BIO (2)'!$E$3:$E$57&gt;0,ROW($3:$57)),ROW(A8))),"")</f>
        <v/>
      </c>
      <c r="B14" s="250" t="str">
        <f t="array" ref="B14">IFERROR(INDEX('BIO (2)'!E:E,SMALL(IF('BIO (2)'!$E$3:$E$57&gt;0,ROW($3:$57)),ROW(A8))),"")</f>
        <v/>
      </c>
      <c r="C14" s="250" t="str">
        <f t="array" ref="C14">IFERROR(INDEX('BIO (2)'!F:F,SMALL(IF('BIO (2)'!$E$3:$E$57&gt;0,ROW($3:$57)),ROW(A8))),"")</f>
        <v/>
      </c>
      <c r="D14" s="335" t="str">
        <f t="array" ref="D14">IFERROR(INDEX('BIO (2)'!G:G,SMALL(IF('BIO (2)'!$E$3:$E$57&gt;0,ROW($3:$57)),ROW(A8))),"")</f>
        <v/>
      </c>
      <c r="E14" s="250" t="str">
        <f t="array" ref="E14">IFERROR(INDEX('BIO (2)'!H:H,SMALL(IF('BIO (2)'!$E$3:$E$57&gt;0,ROW($3:$57)),ROW(A8))),"")</f>
        <v/>
      </c>
      <c r="F14" s="250" t="str">
        <f>IF(A14="","",C14*'Begr.-Rechner BIO'!$I$2)</f>
        <v/>
      </c>
      <c r="G14" s="250" t="str">
        <f>IFERROR(VLOOKUP(A14,'BIO (2)'!A10:I65,9,0),IF('BIO (2)'!I10="","",""))</f>
        <v/>
      </c>
      <c r="H14" s="476"/>
      <c r="I14" s="478"/>
      <c r="J14" s="217"/>
      <c r="O14" s="202">
        <f t="shared" si="0"/>
        <v>0</v>
      </c>
    </row>
    <row r="15" spans="1:15" ht="24.95" customHeight="1" x14ac:dyDescent="0.2">
      <c r="A15" s="333" t="str">
        <f t="array" ref="A15">IFERROR(INDEX('BIO (2)'!A:A,SMALL(IF('BIO (2)'!$E$3:$E$57&gt;0,ROW($3:$57)),ROW(A9))),"")</f>
        <v/>
      </c>
      <c r="B15" s="250" t="str">
        <f t="array" ref="B15">IFERROR(INDEX('BIO (2)'!E:E,SMALL(IF('BIO (2)'!$E$3:$E$57&gt;0,ROW($3:$57)),ROW(A9))),"")</f>
        <v/>
      </c>
      <c r="C15" s="250" t="str">
        <f t="array" ref="C15">IFERROR(INDEX('BIO (2)'!F:F,SMALL(IF('BIO (2)'!$E$3:$E$57&gt;0,ROW($3:$57)),ROW(A9))),"")</f>
        <v/>
      </c>
      <c r="D15" s="335" t="str">
        <f t="array" ref="D15">IFERROR(INDEX('BIO (2)'!G:G,SMALL(IF('BIO (2)'!$E$3:$E$57&gt;0,ROW($3:$57)),ROW(A9))),"")</f>
        <v/>
      </c>
      <c r="E15" s="250" t="str">
        <f t="array" ref="E15">IFERROR(INDEX('BIO (2)'!H:H,SMALL(IF('BIO (2)'!$E$3:$E$57&gt;0,ROW($3:$57)),ROW(A9))),"")</f>
        <v/>
      </c>
      <c r="F15" s="250" t="str">
        <f>IF(A15="","",C15*'Begr.-Rechner BIO'!$I$2)</f>
        <v/>
      </c>
      <c r="G15" s="250" t="str">
        <f>IFERROR(VLOOKUP(A15,'BIO (2)'!A11:I66,9,0),IF('BIO (2)'!I11="","",""))</f>
        <v/>
      </c>
      <c r="H15" s="476"/>
      <c r="I15" s="478"/>
      <c r="J15" s="217"/>
      <c r="M15" s="145"/>
      <c r="O15" s="202">
        <f t="shared" si="0"/>
        <v>0</v>
      </c>
    </row>
    <row r="16" spans="1:15" ht="24.95" customHeight="1" thickBot="1" x14ac:dyDescent="0.25">
      <c r="A16" s="333" t="str">
        <f t="array" ref="A16">IFERROR(INDEX('BIO (2)'!A:A,SMALL(IF('BIO (2)'!$E$3:$E$57&gt;0,ROW($3:$57)),ROW(A10))),"")</f>
        <v/>
      </c>
      <c r="B16" s="250" t="str">
        <f t="array" ref="B16">IFERROR(INDEX('BIO (2)'!E:E,SMALL(IF('BIO (2)'!$E$3:$E$57&gt;0,ROW($3:$57)),ROW(A10))),"")</f>
        <v/>
      </c>
      <c r="C16" s="250" t="str">
        <f t="array" ref="C16">IFERROR(INDEX('BIO (2)'!F:F,SMALL(IF('BIO (2)'!$E$3:$E$57&gt;0,ROW($3:$57)),ROW(A10))),"")</f>
        <v/>
      </c>
      <c r="D16" s="335" t="str">
        <f t="array" ref="D16">IFERROR(INDEX('BIO (2)'!G:G,SMALL(IF('BIO (2)'!$E$3:$E$57&gt;0,ROW($3:$57)),ROW(A10))),"")</f>
        <v/>
      </c>
      <c r="E16" s="250" t="str">
        <f t="array" ref="E16">IFERROR(INDEX('BIO (2)'!H:H,SMALL(IF('BIO (2)'!$E$3:$E$57&gt;0,ROW($3:$57)),ROW(A10))),"")</f>
        <v/>
      </c>
      <c r="F16" s="250" t="str">
        <f>IF(A16="","",C16*'Begr.-Rechner BIO'!$I$2)</f>
        <v/>
      </c>
      <c r="G16" s="250" t="str">
        <f>IFERROR(VLOOKUP(A16,'BIO (2)'!A12:I67,9,0),IF('BIO (2)'!I12="","",""))</f>
        <v/>
      </c>
      <c r="H16" s="523"/>
      <c r="I16" s="524"/>
      <c r="J16" s="217"/>
      <c r="O16" s="202">
        <f t="shared" si="0"/>
        <v>0</v>
      </c>
    </row>
    <row r="17" spans="1:15" ht="24.95" customHeight="1" x14ac:dyDescent="0.2">
      <c r="A17" s="333" t="str">
        <f t="array" ref="A17">IFERROR(INDEX('BIO (2)'!A:A,SMALL(IF('BIO (2)'!$E$3:$E$57&gt;0,ROW($3:$57)),ROW(A11))),"")</f>
        <v/>
      </c>
      <c r="B17" s="250" t="str">
        <f t="array" ref="B17">IFERROR(INDEX('BIO (2)'!E:E,SMALL(IF('BIO (2)'!$E$3:$E$57&gt;0,ROW($3:$57)),ROW(A11))),"")</f>
        <v/>
      </c>
      <c r="C17" s="250" t="str">
        <f t="array" ref="C17">IFERROR(INDEX('BIO (2)'!F:F,SMALL(IF('BIO (2)'!$E$3:$E$57&gt;0,ROW($3:$57)),ROW(A11))),"")</f>
        <v/>
      </c>
      <c r="D17" s="335" t="str">
        <f t="array" ref="D17">IFERROR(INDEX('BIO (2)'!G:G,SMALL(IF('BIO (2)'!$E$3:$E$57&gt;0,ROW($3:$57)),ROW(A11))),"")</f>
        <v/>
      </c>
      <c r="E17" s="250" t="str">
        <f t="array" ref="E17">IFERROR(INDEX('BIO (2)'!H:H,SMALL(IF('BIO (2)'!$E$3:$E$57&gt;0,ROW($3:$57)),ROW(A11))),"")</f>
        <v/>
      </c>
      <c r="F17" s="250" t="str">
        <f>IF(A17="","",C17*'Begr.-Rechner BIO'!$I$2)</f>
        <v/>
      </c>
      <c r="G17" s="250" t="str">
        <f>IFERROR(VLOOKUP(A17,'BIO (2)'!A13:I68,9,0),IF('BIO (2)'!I13="","",""))</f>
        <v/>
      </c>
      <c r="H17" s="188"/>
      <c r="I17" s="188"/>
      <c r="O17" s="202">
        <f t="shared" si="0"/>
        <v>0</v>
      </c>
    </row>
    <row r="18" spans="1:15" ht="24.95" customHeight="1" x14ac:dyDescent="0.2">
      <c r="A18" s="333" t="str">
        <f t="array" ref="A18">IFERROR(INDEX('BIO (2)'!A:A,SMALL(IF('BIO (2)'!$E$3:$E$57&gt;0,ROW($3:$57)),ROW(A12))),"")</f>
        <v/>
      </c>
      <c r="B18" s="250" t="str">
        <f t="array" ref="B18">IFERROR(INDEX('BIO (2)'!E:E,SMALL(IF('BIO (2)'!$E$3:$E$57&gt;0,ROW($3:$57)),ROW(A12))),"")</f>
        <v/>
      </c>
      <c r="C18" s="250" t="str">
        <f t="array" ref="C18">IFERROR(INDEX('BIO (2)'!F:F,SMALL(IF('BIO (2)'!$E$3:$E$57&gt;0,ROW($3:$57)),ROW(A12))),"")</f>
        <v/>
      </c>
      <c r="D18" s="335" t="str">
        <f t="array" ref="D18">IFERROR(INDEX('BIO (2)'!G:G,SMALL(IF('BIO (2)'!$E$3:$E$57&gt;0,ROW($3:$57)),ROW(A12))),"")</f>
        <v/>
      </c>
      <c r="E18" s="250" t="str">
        <f t="array" ref="E18">IFERROR(INDEX('BIO (2)'!H:H,SMALL(IF('BIO (2)'!$E$3:$E$57&gt;0,ROW($3:$57)),ROW(A12))),"")</f>
        <v/>
      </c>
      <c r="F18" s="250" t="str">
        <f>IF(A18="","",C18*'Begr.-Rechner BIO'!$I$2)</f>
        <v/>
      </c>
      <c r="G18" s="250" t="str">
        <f>IFERROR(VLOOKUP(A18,'BIO (2)'!A14:I69,9,0),IF('BIO (2)'!I14="","",""))</f>
        <v/>
      </c>
      <c r="H18" s="188"/>
      <c r="I18" s="188"/>
      <c r="O18" s="202">
        <f t="shared" si="0"/>
        <v>0</v>
      </c>
    </row>
    <row r="19" spans="1:15" ht="24.95" customHeight="1" x14ac:dyDescent="0.2">
      <c r="A19" s="333" t="str">
        <f t="array" ref="A19">IFERROR(INDEX('BIO (2)'!A:A,SMALL(IF('BIO (2)'!$E$3:$E$57&gt;0,ROW($3:$57)),ROW(A13))),"")</f>
        <v/>
      </c>
      <c r="B19" s="250" t="str">
        <f t="array" ref="B19">IFERROR(INDEX('BIO (2)'!E:E,SMALL(IF('BIO (2)'!$E$3:$E$57&gt;0,ROW($3:$57)),ROW(A13))),"")</f>
        <v/>
      </c>
      <c r="C19" s="250" t="str">
        <f t="array" ref="C19">IFERROR(INDEX('BIO (2)'!F:F,SMALL(IF('BIO (2)'!$E$3:$E$57&gt;0,ROW($3:$57)),ROW(A13))),"")</f>
        <v/>
      </c>
      <c r="D19" s="335" t="str">
        <f t="array" ref="D19">IFERROR(INDEX('BIO (2)'!G:G,SMALL(IF('BIO (2)'!$E$3:$E$57&gt;0,ROW($3:$57)),ROW(A13))),"")</f>
        <v/>
      </c>
      <c r="E19" s="250" t="str">
        <f t="array" ref="E19">IFERROR(INDEX('BIO (2)'!H:H,SMALL(IF('BIO (2)'!$E$3:$E$57&gt;0,ROW($3:$57)),ROW(A13))),"")</f>
        <v/>
      </c>
      <c r="F19" s="250" t="str">
        <f>IF(A19="","",C19*'Begr.-Rechner BIO'!$I$2)</f>
        <v/>
      </c>
      <c r="G19" s="250" t="str">
        <f>IFERROR(VLOOKUP(A19,'BIO (2)'!A15:I70,9,0),IF('BIO (2)'!I15="","",""))</f>
        <v/>
      </c>
      <c r="H19" s="188"/>
      <c r="I19" s="188"/>
      <c r="O19" s="202">
        <f t="shared" si="0"/>
        <v>0</v>
      </c>
    </row>
    <row r="20" spans="1:15" ht="24.95" customHeight="1" x14ac:dyDescent="0.2">
      <c r="A20" s="333" t="str">
        <f t="array" ref="A20">IFERROR(INDEX('BIO (2)'!A:A,SMALL(IF('BIO (2)'!$E$3:$E$57&gt;0,ROW($3:$57)),ROW(A14))),"")</f>
        <v/>
      </c>
      <c r="B20" s="250" t="str">
        <f t="array" ref="B20">IFERROR(INDEX('BIO (2)'!E:E,SMALL(IF('BIO (2)'!$E$3:$E$57&gt;0,ROW($3:$57)),ROW(A14))),"")</f>
        <v/>
      </c>
      <c r="C20" s="250" t="str">
        <f t="array" ref="C20">IFERROR(INDEX('BIO (2)'!F:F,SMALL(IF('BIO (2)'!$E$3:$E$57&gt;0,ROW($3:$57)),ROW(A14))),"")</f>
        <v/>
      </c>
      <c r="D20" s="335" t="str">
        <f t="array" ref="D20">IFERROR(INDEX('BIO (2)'!G:G,SMALL(IF('BIO (2)'!$E$3:$E$57&gt;0,ROW($3:$57)),ROW(A14))),"")</f>
        <v/>
      </c>
      <c r="E20" s="250" t="str">
        <f t="array" ref="E20">IFERROR(INDEX('BIO (2)'!H:H,SMALL(IF('BIO (2)'!$E$3:$E$57&gt;0,ROW($3:$57)),ROW(A14))),"")</f>
        <v/>
      </c>
      <c r="F20" s="250" t="str">
        <f>IF(A20="","",C20*'Begr.-Rechner BIO'!$I$2)</f>
        <v/>
      </c>
      <c r="G20" s="250" t="str">
        <f>IFERROR(VLOOKUP(A20,'BIO (2)'!A16:I71,9,0),IF('BIO (2)'!I16="","",""))</f>
        <v/>
      </c>
      <c r="H20" s="188"/>
      <c r="I20" s="188"/>
      <c r="O20" s="202">
        <f t="shared" si="0"/>
        <v>0</v>
      </c>
    </row>
    <row r="21" spans="1:15" ht="24.95" customHeight="1" x14ac:dyDescent="0.2">
      <c r="A21" s="333" t="str">
        <f t="array" ref="A21">IFERROR(INDEX('BIO (2)'!A:A,SMALL(IF('BIO (2)'!$E$3:$E$57&gt;0,ROW($3:$57)),ROW(A15))),"")</f>
        <v/>
      </c>
      <c r="B21" s="250" t="str">
        <f t="array" ref="B21">IFERROR(INDEX('BIO (2)'!E:E,SMALL(IF('BIO (2)'!$E$3:$E$57&gt;0,ROW($3:$57)),ROW(A15))),"")</f>
        <v/>
      </c>
      <c r="C21" s="250" t="str">
        <f t="array" ref="C21">IFERROR(INDEX('BIO (2)'!F:F,SMALL(IF('BIO (2)'!$E$3:$E$57&gt;0,ROW($3:$57)),ROW(A15))),"")</f>
        <v/>
      </c>
      <c r="D21" s="335" t="str">
        <f t="array" ref="D21">IFERROR(INDEX('BIO (2)'!G:G,SMALL(IF('BIO (2)'!$E$3:$E$57&gt;0,ROW($3:$57)),ROW(A15))),"")</f>
        <v/>
      </c>
      <c r="E21" s="250" t="str">
        <f t="array" ref="E21">IFERROR(INDEX('BIO (2)'!H:H,SMALL(IF('BIO (2)'!$E$3:$E$57&gt;0,ROW($3:$57)),ROW(A15))),"")</f>
        <v/>
      </c>
      <c r="F21" s="250" t="str">
        <f>IF(A21="","",C21*'Begr.-Rechner BIO'!$I$2)</f>
        <v/>
      </c>
      <c r="G21" s="250" t="str">
        <f>IFERROR(VLOOKUP(A21,'BIO (2)'!A17:I72,9,0),IF('BIO (2)'!I17="","",""))</f>
        <v/>
      </c>
      <c r="H21" s="188"/>
      <c r="I21" s="188"/>
      <c r="O21" s="202">
        <f t="shared" si="0"/>
        <v>0</v>
      </c>
    </row>
    <row r="22" spans="1:15" ht="24.95" customHeight="1" x14ac:dyDescent="0.2">
      <c r="A22" s="333" t="str">
        <f t="array" ref="A22">IFERROR(INDEX('BIO (2)'!A:A,SMALL(IF('BIO (2)'!$E$3:$E$57&gt;0,ROW($3:$57)),ROW(A16))),"")</f>
        <v/>
      </c>
      <c r="B22" s="250" t="str">
        <f t="array" ref="B22">IFERROR(INDEX('BIO (2)'!E:E,SMALL(IF('BIO (2)'!$E$3:$E$57&gt;0,ROW($3:$57)),ROW(A16))),"")</f>
        <v/>
      </c>
      <c r="C22" s="250" t="str">
        <f t="array" ref="C22">IFERROR(INDEX('BIO (2)'!F:F,SMALL(IF('BIO (2)'!$E$3:$E$57&gt;0,ROW($3:$57)),ROW(A16))),"")</f>
        <v/>
      </c>
      <c r="D22" s="335" t="str">
        <f t="array" ref="D22">IFERROR(INDEX('BIO (2)'!G:G,SMALL(IF('BIO (2)'!$E$3:$E$57&gt;0,ROW($3:$57)),ROW(A16))),"")</f>
        <v/>
      </c>
      <c r="E22" s="250" t="str">
        <f t="array" ref="E22">IFERROR(INDEX('BIO (2)'!H:H,SMALL(IF('BIO (2)'!$E$3:$E$57&gt;0,ROW($3:$57)),ROW(A16))),"")</f>
        <v/>
      </c>
      <c r="F22" s="250" t="str">
        <f>IF(A22="","",C22*'Begr.-Rechner BIO'!$I$2)</f>
        <v/>
      </c>
      <c r="G22" s="250" t="str">
        <f>IFERROR(VLOOKUP(A22,'BIO (2)'!A18:I73,9,0),IF('BIO (2)'!I18="","",""))</f>
        <v/>
      </c>
      <c r="H22" s="188"/>
      <c r="I22" s="188"/>
      <c r="O22" s="202">
        <f t="shared" si="0"/>
        <v>0</v>
      </c>
    </row>
    <row r="23" spans="1:15" ht="24.95" customHeight="1" x14ac:dyDescent="0.2">
      <c r="A23" s="333" t="str">
        <f t="array" ref="A23">IFERROR(INDEX('BIO (2)'!A:A,SMALL(IF('BIO (2)'!$E$3:$E$57&gt;0,ROW($3:$57)),ROW(A17))),"")</f>
        <v/>
      </c>
      <c r="B23" s="250" t="str">
        <f t="array" ref="B23">IFERROR(INDEX('BIO (2)'!E:E,SMALL(IF('BIO (2)'!$E$3:$E$57&gt;0,ROW($3:$57)),ROW(A17))),"")</f>
        <v/>
      </c>
      <c r="C23" s="250" t="str">
        <f t="array" ref="C23">IFERROR(INDEX('BIO (2)'!F:F,SMALL(IF('BIO (2)'!$E$3:$E$57&gt;0,ROW($3:$57)),ROW(A17))),"")</f>
        <v/>
      </c>
      <c r="D23" s="335" t="str">
        <f t="array" ref="D23">IFERROR(INDEX('BIO (2)'!G:G,SMALL(IF('BIO (2)'!$E$3:$E$57&gt;0,ROW($3:$57)),ROW(A17))),"")</f>
        <v/>
      </c>
      <c r="E23" s="250" t="str">
        <f t="array" ref="E23">IFERROR(INDEX('BIO (2)'!H:H,SMALL(IF('BIO (2)'!$E$3:$E$57&gt;0,ROW($3:$57)),ROW(A17))),"")</f>
        <v/>
      </c>
      <c r="F23" s="250" t="str">
        <f>IF(A23="","",C23*'Begr.-Rechner BIO'!$I$2)</f>
        <v/>
      </c>
      <c r="G23" s="250" t="str">
        <f>IFERROR(VLOOKUP(A23,'BIO (2)'!A19:I74,9,0),IF('BIO (2)'!I19="","",""))</f>
        <v/>
      </c>
      <c r="H23" s="188"/>
      <c r="I23" s="188"/>
      <c r="O23" s="202">
        <f t="shared" si="0"/>
        <v>0</v>
      </c>
    </row>
    <row r="24" spans="1:15" ht="24.95" customHeight="1" x14ac:dyDescent="0.2">
      <c r="A24" s="333" t="str">
        <f t="array" ref="A24">IFERROR(INDEX('BIO (2)'!A:A,SMALL(IF('BIO (2)'!$E$3:$E$57&gt;0,ROW($3:$57)),ROW(A18))),"")</f>
        <v/>
      </c>
      <c r="B24" s="250" t="str">
        <f t="array" ref="B24">IFERROR(INDEX('BIO (2)'!E:E,SMALL(IF('BIO (2)'!$E$3:$E$57&gt;0,ROW($3:$57)),ROW(A18))),"")</f>
        <v/>
      </c>
      <c r="C24" s="250" t="str">
        <f t="array" ref="C24">IFERROR(INDEX('BIO (2)'!F:F,SMALL(IF('BIO (2)'!$E$3:$E$57&gt;0,ROW($3:$57)),ROW(A18))),"")</f>
        <v/>
      </c>
      <c r="D24" s="335" t="str">
        <f t="array" ref="D24">IFERROR(INDEX('BIO (2)'!G:G,SMALL(IF('BIO (2)'!$E$3:$E$57&gt;0,ROW($3:$57)),ROW(A18))),"")</f>
        <v/>
      </c>
      <c r="E24" s="250" t="str">
        <f t="array" ref="E24">IFERROR(INDEX('BIO (2)'!H:H,SMALL(IF('BIO (2)'!$E$3:$E$57&gt;0,ROW($3:$57)),ROW(A18))),"")</f>
        <v/>
      </c>
      <c r="F24" s="250" t="str">
        <f>IF(A24="","",C24*'Begr.-Rechner BIO'!$I$2)</f>
        <v/>
      </c>
      <c r="G24" s="250" t="str">
        <f>IFERROR(VLOOKUP(A24,'BIO (2)'!A20:I75,9,0),IF('BIO (2)'!I20="","",""))</f>
        <v/>
      </c>
      <c r="H24" s="188"/>
      <c r="I24" s="188"/>
      <c r="O24" s="202">
        <f t="shared" si="0"/>
        <v>0</v>
      </c>
    </row>
    <row r="25" spans="1:15" ht="24.95" customHeight="1" x14ac:dyDescent="0.2">
      <c r="A25" s="333" t="str">
        <f t="array" ref="A25">IFERROR(INDEX('BIO (2)'!A:A,SMALL(IF('BIO (2)'!$E$3:$E$57&gt;0,ROW($3:$57)),ROW(A19))),"")</f>
        <v/>
      </c>
      <c r="B25" s="250" t="str">
        <f t="array" ref="B25">IFERROR(INDEX('BIO (2)'!E:E,SMALL(IF('BIO (2)'!$E$3:$E$57&gt;0,ROW($3:$57)),ROW(A19))),"")</f>
        <v/>
      </c>
      <c r="C25" s="250" t="str">
        <f t="array" ref="C25">IFERROR(INDEX('BIO (2)'!F:F,SMALL(IF('BIO (2)'!$E$3:$E$57&gt;0,ROW($3:$57)),ROW(A19))),"")</f>
        <v/>
      </c>
      <c r="D25" s="335" t="str">
        <f t="array" ref="D25">IFERROR(INDEX('BIO (2)'!G:G,SMALL(IF('BIO (2)'!$E$3:$E$57&gt;0,ROW($3:$57)),ROW(A19))),"")</f>
        <v/>
      </c>
      <c r="E25" s="250" t="str">
        <f t="array" ref="E25">IFERROR(INDEX('BIO (2)'!H:H,SMALL(IF('BIO (2)'!$E$3:$E$57&gt;0,ROW($3:$57)),ROW(A19))),"")</f>
        <v/>
      </c>
      <c r="F25" s="250" t="str">
        <f>IF(A25="","",C25*'Begr.-Rechner BIO'!$I$2)</f>
        <v/>
      </c>
      <c r="G25" s="250" t="str">
        <f>IFERROR(VLOOKUP(A25,'BIO (2)'!A21:I76,9,0),IF('BIO (2)'!I21="","",""))</f>
        <v/>
      </c>
      <c r="H25" s="188"/>
      <c r="I25" s="188"/>
      <c r="O25" s="202">
        <f t="shared" si="0"/>
        <v>0</v>
      </c>
    </row>
    <row r="26" spans="1:15" ht="24.95" customHeight="1" x14ac:dyDescent="0.2">
      <c r="A26" s="333" t="str">
        <f t="array" ref="A26">IFERROR(INDEX('BIO (2)'!A:A,SMALL(IF('BIO (2)'!$E$3:$E$57&gt;0,ROW($3:$57)),ROW(A20))),"")</f>
        <v/>
      </c>
      <c r="B26" s="250" t="str">
        <f t="array" ref="B26">IFERROR(INDEX('BIO (2)'!E:E,SMALL(IF('BIO (2)'!$E$3:$E$57&gt;0,ROW($3:$57)),ROW(A20))),"")</f>
        <v/>
      </c>
      <c r="C26" s="250" t="str">
        <f t="array" ref="C26">IFERROR(INDEX('BIO (2)'!F:F,SMALL(IF('BIO (2)'!$E$3:$E$57&gt;0,ROW($3:$57)),ROW(A20))),"")</f>
        <v/>
      </c>
      <c r="D26" s="335" t="str">
        <f t="array" ref="D26">IFERROR(INDEX('BIO (2)'!G:G,SMALL(IF('BIO (2)'!$E$3:$E$57&gt;0,ROW($3:$57)),ROW(A20))),"")</f>
        <v/>
      </c>
      <c r="E26" s="250" t="str">
        <f t="array" ref="E26">IFERROR(INDEX('BIO (2)'!H:H,SMALL(IF('BIO (2)'!$E$3:$E$57&gt;0,ROW($3:$57)),ROW(A20))),"")</f>
        <v/>
      </c>
      <c r="F26" s="250" t="str">
        <f>IF(A26="","",C26*'Begr.-Rechner BIO'!$I$2)</f>
        <v/>
      </c>
      <c r="G26" s="250" t="str">
        <f>IFERROR(VLOOKUP(A26,'BIO (2)'!A22:I77,9,0),IF('BIO (2)'!I22="","",""))</f>
        <v/>
      </c>
      <c r="H26" s="188"/>
      <c r="I26" s="188"/>
      <c r="O26" s="202">
        <f t="shared" si="0"/>
        <v>0</v>
      </c>
    </row>
    <row r="27" spans="1:15" ht="24.95" customHeight="1" x14ac:dyDescent="0.2">
      <c r="A27" s="333" t="str">
        <f t="array" ref="A27">IFERROR(INDEX('BIO (2)'!A:A,SMALL(IF('BIO (2)'!$E$3:$E$57&gt;0,ROW($3:$57)),ROW(A21))),"")</f>
        <v/>
      </c>
      <c r="B27" s="250" t="str">
        <f t="array" ref="B27">IFERROR(INDEX('BIO (2)'!E:E,SMALL(IF('BIO (2)'!$E$3:$E$57&gt;0,ROW($3:$57)),ROW(A21))),"")</f>
        <v/>
      </c>
      <c r="C27" s="250" t="str">
        <f t="array" ref="C27">IFERROR(INDEX('BIO (2)'!F:F,SMALL(IF('BIO (2)'!$E$3:$E$57&gt;0,ROW($3:$57)),ROW(A21))),"")</f>
        <v/>
      </c>
      <c r="D27" s="335" t="str">
        <f t="array" ref="D27">IFERROR(INDEX('BIO (2)'!G:G,SMALL(IF('BIO (2)'!$E$3:$E$57&gt;0,ROW($3:$57)),ROW(A21))),"")</f>
        <v/>
      </c>
      <c r="E27" s="250" t="str">
        <f t="array" ref="E27">IFERROR(INDEX('BIO (2)'!H:H,SMALL(IF('BIO (2)'!$E$3:$E$57&gt;0,ROW($3:$57)),ROW(A21))),"")</f>
        <v/>
      </c>
      <c r="F27" s="250" t="str">
        <f>IF(A27="","",C27*'Begr.-Rechner BIO'!$I$2)</f>
        <v/>
      </c>
      <c r="G27" s="250" t="str">
        <f>IFERROR(VLOOKUP(A27,'BIO (2)'!A23:I78,9,0),IF('BIO (2)'!I23="","",""))</f>
        <v/>
      </c>
      <c r="H27" s="188"/>
      <c r="I27" s="188"/>
      <c r="O27" s="202">
        <f t="shared" si="0"/>
        <v>0</v>
      </c>
    </row>
    <row r="28" spans="1:15" ht="24.95" customHeight="1" x14ac:dyDescent="0.2">
      <c r="A28" s="333" t="str">
        <f t="array" ref="A28">IFERROR(INDEX('BIO (2)'!A:A,SMALL(IF('BIO (2)'!$E$3:$E$57&gt;0,ROW($3:$57)),ROW(A22))),"")</f>
        <v/>
      </c>
      <c r="B28" s="250" t="str">
        <f t="array" ref="B28">IFERROR(INDEX('BIO (2)'!E:E,SMALL(IF('BIO (2)'!$E$3:$E$57&gt;0,ROW($3:$57)),ROW(A22))),"")</f>
        <v/>
      </c>
      <c r="C28" s="250" t="str">
        <f t="array" ref="C28">IFERROR(INDEX('BIO (2)'!F:F,SMALL(IF('BIO (2)'!$E$3:$E$57&gt;0,ROW($3:$57)),ROW(A22))),"")</f>
        <v/>
      </c>
      <c r="D28" s="335" t="str">
        <f t="array" ref="D28">IFERROR(INDEX('BIO (2)'!G:G,SMALL(IF('BIO (2)'!$E$3:$E$57&gt;0,ROW($3:$57)),ROW(A22))),"")</f>
        <v/>
      </c>
      <c r="E28" s="250" t="str">
        <f t="array" ref="E28">IFERROR(INDEX('BIO (2)'!H:H,SMALL(IF('BIO (2)'!$E$3:$E$57&gt;0,ROW($3:$57)),ROW(A22))),"")</f>
        <v/>
      </c>
      <c r="F28" s="250" t="str">
        <f>IF(A28="","",C28*'Begr.-Rechner BIO'!$I$2)</f>
        <v/>
      </c>
      <c r="G28" s="250" t="str">
        <f>IFERROR(VLOOKUP(A28,'BIO (2)'!A24:I79,9,0),IF('BIO (2)'!I24="","",""))</f>
        <v/>
      </c>
      <c r="O28" s="202">
        <f t="shared" si="0"/>
        <v>0</v>
      </c>
    </row>
    <row r="29" spans="1:15" ht="24.95" customHeight="1" x14ac:dyDescent="0.2">
      <c r="A29" s="333" t="str">
        <f t="array" ref="A29">IFERROR(INDEX('BIO (2)'!A:A,SMALL(IF('BIO (2)'!$E$3:$E$57&gt;0,ROW($3:$57)),ROW(A23))),"")</f>
        <v/>
      </c>
      <c r="B29" s="250" t="str">
        <f t="array" ref="B29">IFERROR(INDEX('BIO (2)'!E:E,SMALL(IF('BIO (2)'!$E$3:$E$57&gt;0,ROW($3:$57)),ROW(A23))),"")</f>
        <v/>
      </c>
      <c r="C29" s="250" t="str">
        <f t="array" ref="C29">IFERROR(INDEX('BIO (2)'!F:F,SMALL(IF('BIO (2)'!$E$3:$E$57&gt;0,ROW($3:$57)),ROW(A23))),"")</f>
        <v/>
      </c>
      <c r="D29" s="335" t="str">
        <f t="array" ref="D29">IFERROR(INDEX('BIO (2)'!G:G,SMALL(IF('BIO (2)'!$E$3:$E$57&gt;0,ROW($3:$57)),ROW(A23))),"")</f>
        <v/>
      </c>
      <c r="E29" s="250" t="str">
        <f t="array" ref="E29">IFERROR(INDEX('BIO (2)'!H:H,SMALL(IF('BIO (2)'!$E$3:$E$57&gt;0,ROW($3:$57)),ROW(A23))),"")</f>
        <v/>
      </c>
      <c r="F29" s="250" t="str">
        <f>IF(A29="","",C29*'Begr.-Rechner BIO'!$I$2)</f>
        <v/>
      </c>
      <c r="G29" s="250" t="str">
        <f>IFERROR(VLOOKUP(A29,'BIO (2)'!A25:I80,9,0),IF('BIO (2)'!I25="","",""))</f>
        <v/>
      </c>
      <c r="O29" s="202">
        <f t="shared" si="0"/>
        <v>0</v>
      </c>
    </row>
    <row r="30" spans="1:15" ht="24.95" customHeight="1" x14ac:dyDescent="0.2">
      <c r="A30" s="333" t="str">
        <f t="array" ref="A30">IFERROR(INDEX('BIO (2)'!A:A,SMALL(IF('BIO (2)'!$E$3:$E$57&gt;0,ROW($3:$57)),ROW(A24))),"")</f>
        <v/>
      </c>
      <c r="B30" s="250" t="str">
        <f t="array" ref="B30">IFERROR(INDEX('BIO (2)'!E:E,SMALL(IF('BIO (2)'!$E$3:$E$57&gt;0,ROW($3:$57)),ROW(A24))),"")</f>
        <v/>
      </c>
      <c r="C30" s="250" t="str">
        <f t="array" ref="C30">IFERROR(INDEX('BIO (2)'!F:F,SMALL(IF('BIO (2)'!$E$3:$E$57&gt;0,ROW($3:$57)),ROW(A24))),"")</f>
        <v/>
      </c>
      <c r="D30" s="335" t="str">
        <f t="array" ref="D30">IFERROR(INDEX('BIO (2)'!G:G,SMALL(IF('BIO (2)'!$E$3:$E$57&gt;0,ROW($3:$57)),ROW(A24))),"")</f>
        <v/>
      </c>
      <c r="E30" s="250" t="str">
        <f t="array" ref="E30">IFERROR(INDEX('BIO (2)'!H:H,SMALL(IF('BIO (2)'!$E$3:$E$57&gt;0,ROW($3:$57)),ROW(A24))),"")</f>
        <v/>
      </c>
      <c r="F30" s="250" t="str">
        <f>IF(A30="","",C30*'Begr.-Rechner BIO'!$I$2)</f>
        <v/>
      </c>
      <c r="G30" s="250" t="str">
        <f>IFERROR(VLOOKUP(A30,'BIO (2)'!A26:I81,9,0),IF('BIO (2)'!I26="","",""))</f>
        <v/>
      </c>
      <c r="O30" s="202">
        <f t="shared" si="0"/>
        <v>0</v>
      </c>
    </row>
    <row r="31" spans="1:15" ht="24.95" customHeight="1" x14ac:dyDescent="0.2">
      <c r="A31" s="333" t="str">
        <f t="array" ref="A31">IFERROR(INDEX('BIO (2)'!A:A,SMALL(IF('BIO (2)'!$E$3:$E$57&gt;0,ROW($3:$57)),ROW(A25))),"")</f>
        <v/>
      </c>
      <c r="B31" s="250" t="str">
        <f t="array" ref="B31">IFERROR(INDEX('BIO (2)'!E:E,SMALL(IF('BIO (2)'!$E$3:$E$57&gt;0,ROW($3:$57)),ROW(A25))),"")</f>
        <v/>
      </c>
      <c r="C31" s="250" t="str">
        <f t="array" ref="C31">IFERROR(INDEX('BIO (2)'!F:F,SMALL(IF('BIO (2)'!$E$3:$E$57&gt;0,ROW($3:$57)),ROW(A25))),"")</f>
        <v/>
      </c>
      <c r="D31" s="335" t="str">
        <f t="array" ref="D31">IFERROR(INDEX('BIO (2)'!G:G,SMALL(IF('BIO (2)'!$E$3:$E$57&gt;0,ROW($3:$57)),ROW(A25))),"")</f>
        <v/>
      </c>
      <c r="E31" s="250" t="str">
        <f t="array" ref="E31">IFERROR(INDEX('BIO (2)'!H:H,SMALL(IF('BIO (2)'!$E$3:$E$57&gt;0,ROW($3:$57)),ROW(A25))),"")</f>
        <v/>
      </c>
      <c r="F31" s="250" t="str">
        <f>IF(A31="","",C31*'Begr.-Rechner BIO'!$I$2)</f>
        <v/>
      </c>
      <c r="G31" s="250" t="str">
        <f>IFERROR(VLOOKUP(A31,'BIO (2)'!A27:I82,9,0),IF('BIO (2)'!I27="","",""))</f>
        <v/>
      </c>
      <c r="O31" s="202">
        <f t="shared" si="0"/>
        <v>0</v>
      </c>
    </row>
    <row r="32" spans="1:15" ht="24.95" customHeight="1" x14ac:dyDescent="0.2">
      <c r="A32" s="333" t="str">
        <f t="array" ref="A32">IFERROR(INDEX('BIO (2)'!A:A,SMALL(IF('BIO (2)'!$E$3:$E$57&gt;0,ROW($3:$57)),ROW(A26))),"")</f>
        <v/>
      </c>
      <c r="B32" s="250" t="str">
        <f t="array" ref="B32">IFERROR(INDEX('BIO (2)'!E:E,SMALL(IF('BIO (2)'!$E$3:$E$57&gt;0,ROW($3:$57)),ROW(A26))),"")</f>
        <v/>
      </c>
      <c r="C32" s="250" t="str">
        <f t="array" ref="C32">IFERROR(INDEX('BIO (2)'!F:F,SMALL(IF('BIO (2)'!$E$3:$E$57&gt;0,ROW($3:$57)),ROW(A26))),"")</f>
        <v/>
      </c>
      <c r="D32" s="335" t="str">
        <f t="array" ref="D32">IFERROR(INDEX('BIO (2)'!G:G,SMALL(IF('BIO (2)'!$E$3:$E$57&gt;0,ROW($3:$57)),ROW(A26))),"")</f>
        <v/>
      </c>
      <c r="E32" s="250" t="str">
        <f t="array" ref="E32">IFERROR(INDEX('BIO (2)'!H:H,SMALL(IF('BIO (2)'!$E$3:$E$57&gt;0,ROW($3:$57)),ROW(A26))),"")</f>
        <v/>
      </c>
      <c r="F32" s="250" t="str">
        <f>IF(A32="","",C32*'Begr.-Rechner BIO'!$I$2)</f>
        <v/>
      </c>
      <c r="G32" s="250" t="str">
        <f>IFERROR(VLOOKUP(A32,'BIO (2)'!A28:I83,9,0),IF('BIO (2)'!I28="","",""))</f>
        <v/>
      </c>
      <c r="O32" s="202">
        <f t="shared" si="0"/>
        <v>0</v>
      </c>
    </row>
    <row r="33" spans="1:16" ht="24.95" customHeight="1" x14ac:dyDescent="0.2">
      <c r="A33" s="333" t="str">
        <f t="array" ref="A33">IFERROR(INDEX('BIO (2)'!A:A,SMALL(IF('BIO (2)'!$E$3:$E$57&gt;0,ROW($3:$57)),ROW(A27))),"")</f>
        <v/>
      </c>
      <c r="B33" s="250" t="str">
        <f t="array" ref="B33">IFERROR(INDEX('BIO (2)'!E:E,SMALL(IF('BIO (2)'!$E$3:$E$57&gt;0,ROW($3:$57)),ROW(A27))),"")</f>
        <v/>
      </c>
      <c r="C33" s="250" t="str">
        <f t="array" ref="C33">IFERROR(INDEX('BIO (2)'!F:F,SMALL(IF('BIO (2)'!$E$3:$E$57&gt;0,ROW($3:$57)),ROW(A27))),"")</f>
        <v/>
      </c>
      <c r="D33" s="335" t="str">
        <f t="array" ref="D33">IFERROR(INDEX('BIO (2)'!G:G,SMALL(IF('BIO (2)'!$E$3:$E$57&gt;0,ROW($3:$57)),ROW(A27))),"")</f>
        <v/>
      </c>
      <c r="E33" s="250" t="str">
        <f t="array" ref="E33">IFERROR(INDEX('BIO (2)'!H:H,SMALL(IF('BIO (2)'!$E$3:$E$57&gt;0,ROW($3:$57)),ROW(A27))),"")</f>
        <v/>
      </c>
      <c r="F33" s="250" t="str">
        <f>IF(A33="","",C33*'Begr.-Rechner BIO'!$I$2)</f>
        <v/>
      </c>
      <c r="G33" s="250" t="str">
        <f>IFERROR(VLOOKUP(A33,'BIO (2)'!A29:I84,9,0),IF('BIO (2)'!I29="","",""))</f>
        <v/>
      </c>
      <c r="O33" s="202">
        <f t="shared" si="0"/>
        <v>0</v>
      </c>
    </row>
    <row r="34" spans="1:16" ht="24.95" customHeight="1" x14ac:dyDescent="0.2">
      <c r="A34" s="333" t="str">
        <f t="array" ref="A34">IFERROR(INDEX('BIO (2)'!A:A,SMALL(IF('BIO (2)'!$E$3:$E$57&gt;0,ROW($3:$57)),ROW(A28))),"")</f>
        <v/>
      </c>
      <c r="B34" s="250" t="str">
        <f t="array" ref="B34">IFERROR(INDEX('BIO (2)'!E:E,SMALL(IF('BIO (2)'!$E$3:$E$57&gt;0,ROW($3:$57)),ROW(A28))),"")</f>
        <v/>
      </c>
      <c r="C34" s="250" t="str">
        <f t="array" ref="C34">IFERROR(INDEX('BIO (2)'!F:F,SMALL(IF('BIO (2)'!$E$3:$E$57&gt;0,ROW($3:$57)),ROW(A28))),"")</f>
        <v/>
      </c>
      <c r="D34" s="335" t="str">
        <f t="array" ref="D34">IFERROR(INDEX('BIO (2)'!G:G,SMALL(IF('BIO (2)'!$E$3:$E$57&gt;0,ROW($3:$57)),ROW(A28))),"")</f>
        <v/>
      </c>
      <c r="E34" s="250" t="str">
        <f t="array" ref="E34">IFERROR(INDEX('BIO (2)'!H:H,SMALL(IF('BIO (2)'!$E$3:$E$57&gt;0,ROW($3:$57)),ROW(A28))),"")</f>
        <v/>
      </c>
      <c r="F34" s="250" t="str">
        <f>IF(A34="","",C34*'Begr.-Rechner BIO'!$I$2)</f>
        <v/>
      </c>
      <c r="G34" s="250" t="str">
        <f>IFERROR(VLOOKUP(A34,'BIO (2)'!A30:I85,9,0),IF('BIO (2)'!I30="","",""))</f>
        <v/>
      </c>
      <c r="O34" s="202">
        <f t="shared" si="0"/>
        <v>0</v>
      </c>
    </row>
    <row r="35" spans="1:16" ht="24.95" customHeight="1" x14ac:dyDescent="0.2">
      <c r="A35" s="333" t="str">
        <f t="array" ref="A35">IFERROR(INDEX('BIO (2)'!A:A,SMALL(IF('BIO (2)'!$E$3:$E$57&gt;0,ROW($3:$57)),ROW(A29))),"")</f>
        <v/>
      </c>
      <c r="B35" s="250" t="str">
        <f t="array" ref="B35">IFERROR(INDEX('BIO (2)'!E:E,SMALL(IF('BIO (2)'!$E$3:$E$57&gt;0,ROW($3:$57)),ROW(A29))),"")</f>
        <v/>
      </c>
      <c r="C35" s="250" t="str">
        <f t="array" ref="C35">IFERROR(INDEX('BIO (2)'!F:F,SMALL(IF('BIO (2)'!$E$3:$E$57&gt;0,ROW($3:$57)),ROW(A29))),"")</f>
        <v/>
      </c>
      <c r="D35" s="335" t="str">
        <f t="array" ref="D35">IFERROR(INDEX('BIO (2)'!G:G,SMALL(IF('BIO (2)'!$E$3:$E$57&gt;0,ROW($3:$57)),ROW(A29))),"")</f>
        <v/>
      </c>
      <c r="E35" s="250" t="str">
        <f t="array" ref="E35">IFERROR(INDEX('BIO (2)'!H:H,SMALL(IF('BIO (2)'!$E$3:$E$57&gt;0,ROW($3:$57)),ROW(A29))),"")</f>
        <v/>
      </c>
      <c r="F35" s="250" t="str">
        <f>IF(A35="","",C35*'Begr.-Rechner BIO'!$I$2)</f>
        <v/>
      </c>
      <c r="G35" s="250" t="str">
        <f>IFERROR(VLOOKUP(A35,'BIO (2)'!A31:I86,9,0),IF('BIO (2)'!I31="","",""))</f>
        <v/>
      </c>
      <c r="O35" s="202">
        <f t="shared" si="0"/>
        <v>0</v>
      </c>
    </row>
    <row r="36" spans="1:16" ht="24.95" customHeight="1" x14ac:dyDescent="0.2">
      <c r="A36" s="333" t="str">
        <f t="array" ref="A36">IFERROR(INDEX('BIO (2)'!A:A,SMALL(IF('BIO (2)'!$E$3:$E$57&gt;0,ROW($3:$57)),ROW(A30))),"")</f>
        <v/>
      </c>
      <c r="B36" s="250" t="str">
        <f t="array" ref="B36">IFERROR(INDEX('BIO (2)'!E:E,SMALL(IF('BIO (2)'!$E$3:$E$57&gt;0,ROW($3:$57)),ROW(A30))),"")</f>
        <v/>
      </c>
      <c r="C36" s="250" t="str">
        <f t="array" ref="C36">IFERROR(INDEX('BIO (2)'!F:F,SMALL(IF('BIO (2)'!$E$3:$E$57&gt;0,ROW($3:$57)),ROW(A30))),"")</f>
        <v/>
      </c>
      <c r="D36" s="335" t="str">
        <f t="array" ref="D36">IFERROR(INDEX('BIO (2)'!G:G,SMALL(IF('BIO (2)'!$E$3:$E$57&gt;0,ROW($3:$57)),ROW(A30))),"")</f>
        <v/>
      </c>
      <c r="E36" s="250" t="str">
        <f t="array" ref="E36">IFERROR(INDEX('BIO (2)'!H:H,SMALL(IF('BIO (2)'!$E$3:$E$57&gt;0,ROW($3:$57)),ROW(A30))),"")</f>
        <v/>
      </c>
      <c r="F36" s="250" t="str">
        <f>IF(A36="","",C36*'Begr.-Rechner BIO'!$I$2)</f>
        <v/>
      </c>
      <c r="G36" s="250" t="str">
        <f>IFERROR(VLOOKUP(A36,'BIO (2)'!A32:I87,9,0),IF('BIO (2)'!I32="","",""))</f>
        <v/>
      </c>
      <c r="O36" s="202">
        <f t="shared" si="0"/>
        <v>0</v>
      </c>
    </row>
    <row r="37" spans="1:16" ht="24.95" customHeight="1" x14ac:dyDescent="0.2">
      <c r="A37" s="333" t="str">
        <f t="array" ref="A37">IFERROR(INDEX('BIO (2)'!A:A,SMALL(IF('BIO (2)'!$E$3:$E$57&gt;0,ROW($3:$57)),ROW(A31))),"")</f>
        <v/>
      </c>
      <c r="B37" s="250" t="str">
        <f t="array" ref="B37">IFERROR(INDEX('BIO (2)'!E:E,SMALL(IF('BIO (2)'!$E$3:$E$57&gt;0,ROW($3:$57)),ROW(A31))),"")</f>
        <v/>
      </c>
      <c r="C37" s="250" t="str">
        <f t="array" ref="C37">IFERROR(INDEX('BIO (2)'!F:F,SMALL(IF('BIO (2)'!$E$3:$E$57&gt;0,ROW($3:$57)),ROW(A31))),"")</f>
        <v/>
      </c>
      <c r="D37" s="335" t="str">
        <f t="array" ref="D37">IFERROR(INDEX('BIO (2)'!G:G,SMALL(IF('BIO (2)'!$E$3:$E$57&gt;0,ROW($3:$57)),ROW(A31))),"")</f>
        <v/>
      </c>
      <c r="E37" s="250" t="str">
        <f t="array" ref="E37">IFERROR(INDEX('BIO (2)'!H:H,SMALL(IF('BIO (2)'!$E$3:$E$57&gt;0,ROW($3:$57)),ROW(A31))),"")</f>
        <v/>
      </c>
      <c r="F37" s="250" t="str">
        <f>IF(A37="","",C37*'Begr.-Rechner BIO'!$I$2)</f>
        <v/>
      </c>
      <c r="G37" s="250" t="str">
        <f>IFERROR(VLOOKUP(A37,'BIO (2)'!A33:I88,9,0),IF('BIO (2)'!I33="","",""))</f>
        <v/>
      </c>
      <c r="O37" s="202">
        <f t="shared" si="0"/>
        <v>0</v>
      </c>
    </row>
    <row r="38" spans="1:16" ht="24.95" customHeight="1" x14ac:dyDescent="0.2">
      <c r="A38" s="333" t="str">
        <f t="array" ref="A38">IFERROR(INDEX('BIO (2)'!A:A,SMALL(IF('BIO (2)'!$E$3:$E$57&gt;0,ROW($3:$57)),ROW(A32))),"")</f>
        <v/>
      </c>
      <c r="B38" s="250" t="str">
        <f t="array" ref="B38">IFERROR(INDEX('BIO (2)'!E:E,SMALL(IF('BIO (2)'!$E$3:$E$57&gt;0,ROW($3:$57)),ROW(A32))),"")</f>
        <v/>
      </c>
      <c r="C38" s="250" t="str">
        <f t="array" ref="C38">IFERROR(INDEX('BIO (2)'!F:F,SMALL(IF('BIO (2)'!$E$3:$E$57&gt;0,ROW($3:$57)),ROW(A32))),"")</f>
        <v/>
      </c>
      <c r="D38" s="335" t="str">
        <f t="array" ref="D38">IFERROR(INDEX('BIO (2)'!G:G,SMALL(IF('BIO (2)'!$E$3:$E$57&gt;0,ROW($3:$57)),ROW(A32))),"")</f>
        <v/>
      </c>
      <c r="E38" s="250" t="str">
        <f t="array" ref="E38">IFERROR(INDEX('BIO (2)'!H:H,SMALL(IF('BIO (2)'!$E$3:$E$57&gt;0,ROW($3:$57)),ROW(A32))),"")</f>
        <v/>
      </c>
      <c r="F38" s="250" t="str">
        <f>IF(A38="","",C38*'Begr.-Rechner BIO'!$I$2)</f>
        <v/>
      </c>
      <c r="G38" s="250" t="str">
        <f>IFERROR(VLOOKUP(A38,'BIO (2)'!A34:I89,9,0),IF('BIO (2)'!I34="","",""))</f>
        <v/>
      </c>
      <c r="O38" s="202">
        <f t="shared" si="0"/>
        <v>0</v>
      </c>
    </row>
    <row r="39" spans="1:16" ht="24.95" customHeight="1" thickBot="1" x14ac:dyDescent="0.25">
      <c r="A39" s="333" t="str">
        <f t="array" ref="A39">IFERROR(INDEX('BIO (2)'!A:A,SMALL(IF('BIO (2)'!$E$3:$E$57&gt;0,ROW($3:$57)),ROW(A33))),"")</f>
        <v/>
      </c>
      <c r="B39" s="250" t="str">
        <f t="array" ref="B39">IFERROR(INDEX('BIO (2)'!E:E,SMALL(IF('BIO (2)'!$E$3:$E$57&gt;0,ROW($3:$57)),ROW(A33))),"")</f>
        <v/>
      </c>
      <c r="C39" s="250" t="str">
        <f t="array" ref="C39">IFERROR(INDEX('BIO (2)'!F:F,SMALL(IF('BIO (2)'!$E$3:$E$57&gt;0,ROW($3:$57)),ROW(A33))),"")</f>
        <v/>
      </c>
      <c r="D39" s="335" t="str">
        <f t="array" ref="D39">IFERROR(INDEX('BIO (2)'!G:G,SMALL(IF('BIO (2)'!$E$3:$E$57&gt;0,ROW($3:$57)),ROW(A33))),"")</f>
        <v/>
      </c>
      <c r="E39" s="250" t="str">
        <f t="array" ref="E39">IFERROR(INDEX('BIO (2)'!H:H,SMALL(IF('BIO (2)'!$E$3:$E$57&gt;0,ROW($3:$57)),ROW(A33))),"")</f>
        <v/>
      </c>
      <c r="F39" s="250" t="str">
        <f>IF(A39="","",C39*'Begr.-Rechner BIO'!$I$2)</f>
        <v/>
      </c>
      <c r="G39" s="250" t="str">
        <f>IFERROR(VLOOKUP(A39,'BIO (2)'!A35:I90,9,0),IF('BIO (2)'!I35="","",""))</f>
        <v/>
      </c>
      <c r="O39" s="202">
        <f t="shared" si="0"/>
        <v>0</v>
      </c>
    </row>
    <row r="40" spans="1:16" ht="15" thickBot="1" x14ac:dyDescent="0.25">
      <c r="O40" s="227">
        <f>SUM(O7:O39)</f>
        <v>0</v>
      </c>
      <c r="P40" s="227" t="str">
        <f>IF(D4&lt;&gt;"",O40/D4,"")</f>
        <v/>
      </c>
    </row>
  </sheetData>
  <sheetProtection algorithmName="SHA-512" hashValue="dcmCyIMZGSt6IfgTas6tcgD2AW9RauNyf1klFw9zNYAFDI6aTHDazP3Vuh733w6X/NbxJbRvsAPNE7g0jI0ewg==" saltValue="3GO6scoA1GGfLZT59aptng==" spinCount="100000" sheet="1" objects="1" scenarios="1" formatCells="0" formatRows="0"/>
  <mergeCells count="16">
    <mergeCell ref="J7:M11"/>
    <mergeCell ref="L1:M3"/>
    <mergeCell ref="J1:K3"/>
    <mergeCell ref="F5:G5"/>
    <mergeCell ref="F3:G3"/>
    <mergeCell ref="F4:G4"/>
    <mergeCell ref="H3:I3"/>
    <mergeCell ref="H4:I4"/>
    <mergeCell ref="J4:M6"/>
    <mergeCell ref="H12:I16"/>
    <mergeCell ref="H6:I6"/>
    <mergeCell ref="A1:I1"/>
    <mergeCell ref="H9:H11"/>
    <mergeCell ref="I7:I8"/>
    <mergeCell ref="I9:I11"/>
    <mergeCell ref="H7:H8"/>
  </mergeCells>
  <conditionalFormatting sqref="A7:E39">
    <cfRule type="expression" dxfId="4" priority="7">
      <formula>A7&lt;&gt;""</formula>
    </cfRule>
  </conditionalFormatting>
  <conditionalFormatting sqref="F7:F39">
    <cfRule type="expression" dxfId="3" priority="6">
      <formula>A7&lt;&gt;""</formula>
    </cfRule>
  </conditionalFormatting>
  <conditionalFormatting sqref="G7:G39">
    <cfRule type="expression" dxfId="2" priority="3">
      <formula>$G7&lt;&gt;""</formula>
    </cfRule>
  </conditionalFormatting>
  <hyperlinks>
    <hyperlink ref="J1:K3" location="'Begr.-Rechner BIO'!A1" display="'Begr.-Rechner BIO'!A1" xr:uid="{00000000-0004-0000-0600-000000000000}"/>
    <hyperlink ref="L1:M3" location="Anleitung!A1" display="Anleitung!A1" xr:uid="{00000000-0004-0000-0600-000001000000}"/>
  </hyperlinks>
  <pageMargins left="0.7" right="0.7" top="0.78740157499999996" bottom="0.78740157499999996" header="0.3" footer="0.3"/>
  <pageSetup paperSize="9" scale="49" orientation="landscape" r:id="rId1"/>
  <legacyDrawing r:id="rId2"/>
  <extLst>
    <ext xmlns:x14="http://schemas.microsoft.com/office/spreadsheetml/2009/9/main" uri="{78C0D931-6437-407d-A8EE-F0AAD7539E65}">
      <x14:conditionalFormattings>
        <x14:conditionalFormatting xmlns:xm="http://schemas.microsoft.com/office/excel/2006/main">
          <x14:cfRule type="expression" priority="1" id="{11724B92-FA95-419E-B0BD-670D04ACF87F}">
            <xm:f>OR(AND('BIO (2)'!$W$3&gt;0,'BIO (2)'!$X$3&gt;0),AND('BIO (2)'!$W$3=0,'BIO (2)'!$X$3&gt;0))</xm:f>
            <x14:dxf>
              <border>
                <right style="thin">
                  <color auto="1"/>
                </right>
                <bottom style="thin">
                  <color auto="1"/>
                </bottom>
                <vertical/>
                <horizontal/>
              </border>
            </x14:dxf>
          </x14:cfRule>
          <xm:sqref>J4</xm:sqref>
        </x14:conditionalFormatting>
        <x14:conditionalFormatting xmlns:xm="http://schemas.microsoft.com/office/excel/2006/main">
          <x14:cfRule type="expression" priority="2" id="{AB2930EB-B49D-4F82-8D28-1506C00FCFC3}">
            <xm:f>AND($H$4&gt;0.6,'Begr.-Rechner BIO'!$J$2&gt;0)</xm:f>
            <x14:dxf>
              <font>
                <b/>
                <i val="0"/>
              </font>
              <fill>
                <patternFill>
                  <bgColor rgb="FFFFC000"/>
                </patternFill>
              </fill>
              <border>
                <left style="thin">
                  <color auto="1"/>
                </left>
                <right style="thin">
                  <color auto="1"/>
                </right>
                <top style="thin">
                  <color auto="1"/>
                </top>
                <bottom style="thin">
                  <color auto="1"/>
                </bottom>
                <vertical/>
                <horizontal/>
              </border>
            </x14:dxf>
          </x14:cfRule>
          <xm:sqref>J7:M11</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71519-9F41-4B6E-B3BA-E47C9F03B3C3}">
  <sheetPr>
    <tabColor rgb="FFFFFF00"/>
    <pageSetUpPr fitToPage="1"/>
  </sheetPr>
  <dimension ref="A1:E241"/>
  <sheetViews>
    <sheetView zoomScale="90" zoomScaleNormal="90" workbookViewId="0">
      <selection activeCell="E144" sqref="E144"/>
    </sheetView>
  </sheetViews>
  <sheetFormatPr baseColWidth="10" defaultColWidth="11.25" defaultRowHeight="12" x14ac:dyDescent="0.2"/>
  <cols>
    <col min="1" max="1" width="45.125" style="338" customWidth="1"/>
    <col min="2" max="2" width="23.875" style="338" customWidth="1"/>
    <col min="3" max="4" width="16.5" style="338" customWidth="1"/>
    <col min="5" max="5" width="115" style="338" customWidth="1"/>
    <col min="6" max="16384" width="11.25" style="338"/>
  </cols>
  <sheetData>
    <row r="1" spans="1:5" ht="23.25" x14ac:dyDescent="0.2">
      <c r="C1" s="614" t="s">
        <v>439</v>
      </c>
      <c r="D1" s="614"/>
    </row>
    <row r="2" spans="1:5" ht="18.75" thickBot="1" x14ac:dyDescent="0.25">
      <c r="C2" s="615" t="s">
        <v>647</v>
      </c>
      <c r="D2" s="615"/>
    </row>
    <row r="3" spans="1:5" ht="18.75" thickBot="1" x14ac:dyDescent="0.25">
      <c r="C3" s="205" t="s">
        <v>311</v>
      </c>
      <c r="D3" s="206">
        <v>20260612</v>
      </c>
    </row>
    <row r="4" spans="1:5" s="352" customFormat="1" ht="14.25" customHeight="1" x14ac:dyDescent="0.2"/>
    <row r="5" spans="1:5" s="340" customFormat="1" ht="15" customHeight="1" x14ac:dyDescent="0.2"/>
    <row r="6" spans="1:5" s="340" customFormat="1" ht="35.1" customHeight="1" x14ac:dyDescent="0.2">
      <c r="A6" s="353" t="s">
        <v>373</v>
      </c>
      <c r="B6" s="354" t="s">
        <v>59</v>
      </c>
      <c r="C6" s="355" t="s">
        <v>759</v>
      </c>
      <c r="D6" s="356" t="s">
        <v>60</v>
      </c>
      <c r="E6" s="353" t="s">
        <v>61</v>
      </c>
    </row>
    <row r="7" spans="1:5" s="340" customFormat="1" ht="35.1" customHeight="1" x14ac:dyDescent="0.2">
      <c r="A7" s="357" t="s">
        <v>62</v>
      </c>
      <c r="B7" s="192">
        <v>15</v>
      </c>
      <c r="C7" s="81">
        <v>4.6100000000000003</v>
      </c>
      <c r="D7" s="81">
        <v>69.150000000000006</v>
      </c>
      <c r="E7" s="358" t="s">
        <v>760</v>
      </c>
    </row>
    <row r="8" spans="1:5" s="340" customFormat="1" ht="45" customHeight="1" x14ac:dyDescent="0.2">
      <c r="A8" s="357" t="s">
        <v>8</v>
      </c>
      <c r="B8" s="192" t="s">
        <v>63</v>
      </c>
      <c r="C8" s="81" t="s">
        <v>761</v>
      </c>
      <c r="D8" s="81" t="s">
        <v>762</v>
      </c>
      <c r="E8" s="613" t="s">
        <v>763</v>
      </c>
    </row>
    <row r="9" spans="1:5" s="340" customFormat="1" ht="45" customHeight="1" x14ac:dyDescent="0.2">
      <c r="A9" s="357" t="s">
        <v>9</v>
      </c>
      <c r="B9" s="192" t="s">
        <v>63</v>
      </c>
      <c r="C9" s="81" t="s">
        <v>764</v>
      </c>
      <c r="D9" s="81" t="s">
        <v>765</v>
      </c>
      <c r="E9" s="613"/>
    </row>
    <row r="10" spans="1:5" s="340" customFormat="1" ht="35.1" customHeight="1" x14ac:dyDescent="0.2">
      <c r="A10" s="357" t="s">
        <v>64</v>
      </c>
      <c r="B10" s="192">
        <v>25</v>
      </c>
      <c r="C10" s="81" t="s">
        <v>766</v>
      </c>
      <c r="D10" s="81" t="s">
        <v>767</v>
      </c>
      <c r="E10" s="616" t="s">
        <v>768</v>
      </c>
    </row>
    <row r="11" spans="1:5" s="340" customFormat="1" ht="35.1" customHeight="1" x14ac:dyDescent="0.2">
      <c r="A11" s="357" t="s">
        <v>528</v>
      </c>
      <c r="B11" s="192">
        <v>25</v>
      </c>
      <c r="C11" s="81">
        <v>3.34</v>
      </c>
      <c r="D11" s="81">
        <v>83.5</v>
      </c>
      <c r="E11" s="613"/>
    </row>
    <row r="12" spans="1:5" s="340" customFormat="1" ht="35.1" customHeight="1" x14ac:dyDescent="0.2">
      <c r="A12" s="357" t="s">
        <v>98</v>
      </c>
      <c r="B12" s="192" t="s">
        <v>769</v>
      </c>
      <c r="C12" s="81">
        <v>1.75</v>
      </c>
      <c r="D12" s="81" t="s">
        <v>770</v>
      </c>
      <c r="E12" s="337" t="s">
        <v>771</v>
      </c>
    </row>
    <row r="13" spans="1:5" s="340" customFormat="1" ht="35.1" customHeight="1" x14ac:dyDescent="0.2">
      <c r="A13" s="357" t="s">
        <v>644</v>
      </c>
      <c r="B13" s="192" t="s">
        <v>544</v>
      </c>
      <c r="C13" s="81" t="s">
        <v>772</v>
      </c>
      <c r="D13" s="81" t="s">
        <v>773</v>
      </c>
      <c r="E13" s="613" t="s">
        <v>774</v>
      </c>
    </row>
    <row r="14" spans="1:5" s="340" customFormat="1" ht="35.1" customHeight="1" x14ac:dyDescent="0.2">
      <c r="A14" s="357" t="s">
        <v>649</v>
      </c>
      <c r="B14" s="192" t="s">
        <v>544</v>
      </c>
      <c r="C14" s="81" t="s">
        <v>775</v>
      </c>
      <c r="D14" s="81" t="s">
        <v>776</v>
      </c>
      <c r="E14" s="613"/>
    </row>
    <row r="15" spans="1:5" s="340" customFormat="1" ht="35.1" customHeight="1" x14ac:dyDescent="0.2">
      <c r="A15" s="357" t="s">
        <v>484</v>
      </c>
      <c r="B15" s="192" t="s">
        <v>65</v>
      </c>
      <c r="C15" s="81" t="s">
        <v>777</v>
      </c>
      <c r="D15" s="81" t="s">
        <v>778</v>
      </c>
      <c r="E15" s="613"/>
    </row>
    <row r="16" spans="1:5" s="340" customFormat="1" ht="35.1" customHeight="1" x14ac:dyDescent="0.2">
      <c r="A16" s="357" t="s">
        <v>529</v>
      </c>
      <c r="B16" s="192" t="s">
        <v>65</v>
      </c>
      <c r="C16" s="81" t="s">
        <v>779</v>
      </c>
      <c r="D16" s="81" t="s">
        <v>780</v>
      </c>
      <c r="E16" s="613"/>
    </row>
    <row r="17" spans="1:5" s="340" customFormat="1" ht="35.1" customHeight="1" x14ac:dyDescent="0.2">
      <c r="A17" s="357" t="s">
        <v>781</v>
      </c>
      <c r="B17" s="192">
        <v>40</v>
      </c>
      <c r="C17" s="81" t="s">
        <v>782</v>
      </c>
      <c r="D17" s="81" t="s">
        <v>783</v>
      </c>
      <c r="E17" s="616" t="s">
        <v>784</v>
      </c>
    </row>
    <row r="18" spans="1:5" s="340" customFormat="1" ht="35.1" customHeight="1" x14ac:dyDescent="0.2">
      <c r="A18" s="357" t="s">
        <v>90</v>
      </c>
      <c r="B18" s="192">
        <v>40</v>
      </c>
      <c r="C18" s="81">
        <v>3.74</v>
      </c>
      <c r="D18" s="81">
        <v>149.60000000000002</v>
      </c>
      <c r="E18" s="613"/>
    </row>
    <row r="19" spans="1:5" s="340" customFormat="1" ht="35.1" customHeight="1" x14ac:dyDescent="0.2">
      <c r="A19" s="357" t="s">
        <v>374</v>
      </c>
      <c r="B19" s="192" t="s">
        <v>63</v>
      </c>
      <c r="C19" s="81" t="s">
        <v>785</v>
      </c>
      <c r="D19" s="81" t="s">
        <v>786</v>
      </c>
      <c r="E19" s="616" t="s">
        <v>787</v>
      </c>
    </row>
    <row r="20" spans="1:5" s="340" customFormat="1" ht="35.1" customHeight="1" x14ac:dyDescent="0.2">
      <c r="A20" s="357" t="s">
        <v>12</v>
      </c>
      <c r="B20" s="192" t="s">
        <v>63</v>
      </c>
      <c r="C20" s="81">
        <v>4.9400000000000004</v>
      </c>
      <c r="D20" s="81" t="s">
        <v>788</v>
      </c>
      <c r="E20" s="613"/>
    </row>
    <row r="21" spans="1:5" s="340" customFormat="1" ht="35.1" customHeight="1" x14ac:dyDescent="0.2">
      <c r="A21" s="357" t="s">
        <v>66</v>
      </c>
      <c r="B21" s="192">
        <v>180</v>
      </c>
      <c r="C21" s="81">
        <v>3.44</v>
      </c>
      <c r="D21" s="81">
        <v>619.20000000000005</v>
      </c>
      <c r="E21" s="616" t="s">
        <v>789</v>
      </c>
    </row>
    <row r="22" spans="1:5" s="340" customFormat="1" ht="35.1" customHeight="1" x14ac:dyDescent="0.2">
      <c r="A22" s="357" t="s">
        <v>440</v>
      </c>
      <c r="B22" s="192">
        <v>180</v>
      </c>
      <c r="C22" s="81">
        <v>6.58</v>
      </c>
      <c r="D22" s="81">
        <v>1184.4000000000001</v>
      </c>
      <c r="E22" s="613"/>
    </row>
    <row r="23" spans="1:5" s="340" customFormat="1" ht="35.1" customHeight="1" x14ac:dyDescent="0.2">
      <c r="A23" s="357" t="s">
        <v>13</v>
      </c>
      <c r="B23" s="192" t="s">
        <v>790</v>
      </c>
      <c r="C23" s="81" t="s">
        <v>791</v>
      </c>
      <c r="D23" s="81" t="s">
        <v>792</v>
      </c>
      <c r="E23" s="613" t="s">
        <v>793</v>
      </c>
    </row>
    <row r="24" spans="1:5" s="340" customFormat="1" ht="35.1" customHeight="1" x14ac:dyDescent="0.2">
      <c r="A24" s="357" t="s">
        <v>308</v>
      </c>
      <c r="B24" s="192" t="s">
        <v>790</v>
      </c>
      <c r="C24" s="81" t="s">
        <v>794</v>
      </c>
      <c r="D24" s="81" t="s">
        <v>795</v>
      </c>
      <c r="E24" s="613"/>
    </row>
    <row r="25" spans="1:5" s="340" customFormat="1" ht="45" customHeight="1" x14ac:dyDescent="0.2">
      <c r="A25" s="357" t="s">
        <v>67</v>
      </c>
      <c r="B25" s="192" t="s">
        <v>796</v>
      </c>
      <c r="C25" s="81">
        <v>13.53</v>
      </c>
      <c r="D25" s="81">
        <v>40.589999999999996</v>
      </c>
      <c r="E25" s="337" t="s">
        <v>797</v>
      </c>
    </row>
    <row r="26" spans="1:5" s="340" customFormat="1" ht="35.1" customHeight="1" x14ac:dyDescent="0.2">
      <c r="A26" s="357" t="s">
        <v>14</v>
      </c>
      <c r="B26" s="192">
        <v>30</v>
      </c>
      <c r="C26" s="81" t="s">
        <v>798</v>
      </c>
      <c r="D26" s="81" t="s">
        <v>799</v>
      </c>
      <c r="E26" s="358" t="s">
        <v>800</v>
      </c>
    </row>
    <row r="27" spans="1:5" s="340" customFormat="1" ht="60" x14ac:dyDescent="0.2">
      <c r="A27" s="357" t="s">
        <v>15</v>
      </c>
      <c r="B27" s="192">
        <v>150</v>
      </c>
      <c r="C27" s="81">
        <v>2.29</v>
      </c>
      <c r="D27" s="81">
        <v>344.84999999999997</v>
      </c>
      <c r="E27" s="358" t="s">
        <v>801</v>
      </c>
    </row>
    <row r="28" spans="1:5" s="340" customFormat="1" ht="32.25" customHeight="1" x14ac:dyDescent="0.2">
      <c r="A28" s="359"/>
      <c r="B28" s="360"/>
      <c r="C28" s="360"/>
      <c r="D28" s="360"/>
      <c r="E28" s="361"/>
    </row>
    <row r="29" spans="1:5" s="340" customFormat="1" ht="39.950000000000003" customHeight="1" x14ac:dyDescent="0.2">
      <c r="A29" s="362"/>
      <c r="B29" s="363"/>
      <c r="C29" s="363"/>
      <c r="D29" s="363"/>
      <c r="E29" s="364"/>
    </row>
    <row r="30" spans="1:5" s="340" customFormat="1" ht="35.1" customHeight="1" x14ac:dyDescent="0.2">
      <c r="A30" s="353" t="s">
        <v>373</v>
      </c>
      <c r="B30" s="354" t="s">
        <v>59</v>
      </c>
      <c r="C30" s="355" t="s">
        <v>759</v>
      </c>
      <c r="D30" s="356" t="s">
        <v>60</v>
      </c>
      <c r="E30" s="353" t="s">
        <v>61</v>
      </c>
    </row>
    <row r="31" spans="1:5" s="340" customFormat="1" ht="39.950000000000003" customHeight="1" x14ac:dyDescent="0.2">
      <c r="A31" s="357" t="s">
        <v>645</v>
      </c>
      <c r="B31" s="192">
        <v>70</v>
      </c>
      <c r="C31" s="81">
        <v>11.77</v>
      </c>
      <c r="D31" s="81">
        <v>823.9</v>
      </c>
      <c r="E31" s="358" t="s">
        <v>802</v>
      </c>
    </row>
    <row r="32" spans="1:5" s="340" customFormat="1" ht="39.950000000000003" customHeight="1" x14ac:dyDescent="0.2">
      <c r="A32" s="357" t="s">
        <v>651</v>
      </c>
      <c r="B32" s="192">
        <v>30</v>
      </c>
      <c r="C32" s="81">
        <v>13.64</v>
      </c>
      <c r="D32" s="81">
        <v>409.20000000000005</v>
      </c>
      <c r="E32" s="358" t="s">
        <v>803</v>
      </c>
    </row>
    <row r="33" spans="1:5" s="340" customFormat="1" ht="35.1" customHeight="1" x14ac:dyDescent="0.2">
      <c r="A33" s="357" t="s">
        <v>68</v>
      </c>
      <c r="B33" s="192" t="s">
        <v>804</v>
      </c>
      <c r="C33" s="81">
        <v>21.92</v>
      </c>
      <c r="D33" s="81">
        <v>43.84</v>
      </c>
      <c r="E33" s="358" t="s">
        <v>805</v>
      </c>
    </row>
    <row r="34" spans="1:5" s="340" customFormat="1" ht="39.950000000000003" customHeight="1" x14ac:dyDescent="0.2">
      <c r="A34" s="357" t="s">
        <v>69</v>
      </c>
      <c r="B34" s="192">
        <v>15</v>
      </c>
      <c r="C34" s="81" t="s">
        <v>806</v>
      </c>
      <c r="D34" s="81" t="s">
        <v>807</v>
      </c>
      <c r="E34" s="358" t="s">
        <v>808</v>
      </c>
    </row>
    <row r="35" spans="1:5" s="340" customFormat="1" ht="39.950000000000003" customHeight="1" x14ac:dyDescent="0.2">
      <c r="A35" s="357" t="s">
        <v>530</v>
      </c>
      <c r="B35" s="192">
        <v>15</v>
      </c>
      <c r="C35" s="81">
        <v>5.23</v>
      </c>
      <c r="D35" s="81">
        <v>78.45</v>
      </c>
      <c r="E35" s="358" t="s">
        <v>809</v>
      </c>
    </row>
    <row r="36" spans="1:5" s="340" customFormat="1" ht="45" customHeight="1" x14ac:dyDescent="0.2">
      <c r="A36" s="357" t="s">
        <v>70</v>
      </c>
      <c r="B36" s="192">
        <v>20</v>
      </c>
      <c r="C36" s="81" t="s">
        <v>810</v>
      </c>
      <c r="D36" s="81" t="s">
        <v>811</v>
      </c>
      <c r="E36" s="358" t="s">
        <v>812</v>
      </c>
    </row>
    <row r="37" spans="1:5" s="340" customFormat="1" ht="39.950000000000003" customHeight="1" x14ac:dyDescent="0.2">
      <c r="A37" s="357" t="s">
        <v>16</v>
      </c>
      <c r="B37" s="192">
        <v>30</v>
      </c>
      <c r="C37" s="81" t="s">
        <v>813</v>
      </c>
      <c r="D37" s="81" t="s">
        <v>814</v>
      </c>
      <c r="E37" s="613" t="s">
        <v>815</v>
      </c>
    </row>
    <row r="38" spans="1:5" s="340" customFormat="1" ht="39.950000000000003" customHeight="1" x14ac:dyDescent="0.2">
      <c r="A38" s="357" t="s">
        <v>17</v>
      </c>
      <c r="B38" s="192">
        <v>30</v>
      </c>
      <c r="C38" s="81">
        <v>5.13</v>
      </c>
      <c r="D38" s="81">
        <v>153.9</v>
      </c>
      <c r="E38" s="613"/>
    </row>
    <row r="39" spans="1:5" s="340" customFormat="1" ht="35.1" customHeight="1" x14ac:dyDescent="0.2">
      <c r="A39" s="357" t="s">
        <v>376</v>
      </c>
      <c r="B39" s="192">
        <v>40</v>
      </c>
      <c r="C39" s="81">
        <v>2.57</v>
      </c>
      <c r="D39" s="81">
        <v>102.8</v>
      </c>
      <c r="E39" s="616" t="s">
        <v>816</v>
      </c>
    </row>
    <row r="40" spans="1:5" s="340" customFormat="1" ht="35.1" customHeight="1" x14ac:dyDescent="0.2">
      <c r="A40" s="357" t="s">
        <v>377</v>
      </c>
      <c r="B40" s="192">
        <v>40</v>
      </c>
      <c r="C40" s="81">
        <v>3.89</v>
      </c>
      <c r="D40" s="81">
        <v>155.6</v>
      </c>
      <c r="E40" s="613"/>
    </row>
    <row r="41" spans="1:5" s="340" customFormat="1" ht="35.1" customHeight="1" x14ac:dyDescent="0.2">
      <c r="A41" s="357" t="s">
        <v>378</v>
      </c>
      <c r="B41" s="192" t="s">
        <v>545</v>
      </c>
      <c r="C41" s="81">
        <v>4.53</v>
      </c>
      <c r="D41" s="81">
        <v>45.300000000000004</v>
      </c>
      <c r="E41" s="613" t="s">
        <v>817</v>
      </c>
    </row>
    <row r="42" spans="1:5" s="340" customFormat="1" ht="35.1" customHeight="1" x14ac:dyDescent="0.2">
      <c r="A42" s="357" t="s">
        <v>18</v>
      </c>
      <c r="B42" s="192" t="s">
        <v>545</v>
      </c>
      <c r="C42" s="81">
        <v>11.58</v>
      </c>
      <c r="D42" s="81">
        <v>115.8</v>
      </c>
      <c r="E42" s="613"/>
    </row>
    <row r="43" spans="1:5" s="340" customFormat="1" ht="45" customHeight="1" x14ac:dyDescent="0.2">
      <c r="A43" s="357" t="s">
        <v>486</v>
      </c>
      <c r="B43" s="192" t="s">
        <v>51</v>
      </c>
      <c r="C43" s="81">
        <v>3.2</v>
      </c>
      <c r="D43" s="81">
        <v>96</v>
      </c>
      <c r="E43" s="337" t="s">
        <v>818</v>
      </c>
    </row>
    <row r="44" spans="1:5" s="340" customFormat="1" ht="39.950000000000003" customHeight="1" x14ac:dyDescent="0.2">
      <c r="A44" s="357" t="s">
        <v>71</v>
      </c>
      <c r="B44" s="192" t="s">
        <v>122</v>
      </c>
      <c r="C44" s="81">
        <v>12.05</v>
      </c>
      <c r="D44" s="81">
        <v>120.5</v>
      </c>
      <c r="E44" s="337" t="s">
        <v>819</v>
      </c>
    </row>
    <row r="45" spans="1:5" s="340" customFormat="1" ht="35.1" customHeight="1" x14ac:dyDescent="0.2">
      <c r="A45" s="357" t="s">
        <v>19</v>
      </c>
      <c r="B45" s="192" t="s">
        <v>820</v>
      </c>
      <c r="C45" s="81" t="s">
        <v>821</v>
      </c>
      <c r="D45" s="81" t="s">
        <v>822</v>
      </c>
      <c r="E45" s="616" t="s">
        <v>823</v>
      </c>
    </row>
    <row r="46" spans="1:5" s="340" customFormat="1" ht="35.1" customHeight="1" x14ac:dyDescent="0.2">
      <c r="A46" s="357" t="s">
        <v>20</v>
      </c>
      <c r="B46" s="192" t="s">
        <v>820</v>
      </c>
      <c r="C46" s="81" t="s">
        <v>824</v>
      </c>
      <c r="D46" s="81" t="s">
        <v>825</v>
      </c>
      <c r="E46" s="613"/>
    </row>
    <row r="47" spans="1:5" s="340" customFormat="1" ht="35.1" customHeight="1" x14ac:dyDescent="0.2">
      <c r="A47" s="357" t="s">
        <v>441</v>
      </c>
      <c r="B47" s="192" t="s">
        <v>826</v>
      </c>
      <c r="C47" s="81">
        <v>3.26</v>
      </c>
      <c r="D47" s="81">
        <v>260.79999999999995</v>
      </c>
      <c r="E47" s="613" t="s">
        <v>827</v>
      </c>
    </row>
    <row r="48" spans="1:5" s="340" customFormat="1" ht="35.1" customHeight="1" x14ac:dyDescent="0.2">
      <c r="A48" s="357" t="s">
        <v>442</v>
      </c>
      <c r="B48" s="192" t="s">
        <v>826</v>
      </c>
      <c r="C48" s="81">
        <v>4.91</v>
      </c>
      <c r="D48" s="81">
        <v>392.8</v>
      </c>
      <c r="E48" s="613"/>
    </row>
    <row r="49" spans="1:5" s="340" customFormat="1" ht="39.950000000000003" customHeight="1" x14ac:dyDescent="0.2">
      <c r="A49" s="357" t="s">
        <v>21</v>
      </c>
      <c r="B49" s="192">
        <v>25</v>
      </c>
      <c r="C49" s="81" t="s">
        <v>828</v>
      </c>
      <c r="D49" s="81" t="s">
        <v>829</v>
      </c>
      <c r="E49" s="613" t="s">
        <v>830</v>
      </c>
    </row>
    <row r="50" spans="1:5" s="340" customFormat="1" ht="39.950000000000003" customHeight="1" x14ac:dyDescent="0.2">
      <c r="A50" s="357" t="s">
        <v>22</v>
      </c>
      <c r="B50" s="192">
        <v>25</v>
      </c>
      <c r="C50" s="81" t="s">
        <v>831</v>
      </c>
      <c r="D50" s="81" t="s">
        <v>832</v>
      </c>
      <c r="E50" s="613"/>
    </row>
    <row r="51" spans="1:5" s="340" customFormat="1" ht="39.950000000000003" customHeight="1" x14ac:dyDescent="0.2">
      <c r="A51" s="357" t="s">
        <v>23</v>
      </c>
      <c r="B51" s="192" t="s">
        <v>833</v>
      </c>
      <c r="C51" s="81" t="s">
        <v>834</v>
      </c>
      <c r="D51" s="81" t="s">
        <v>835</v>
      </c>
      <c r="E51" s="613" t="s">
        <v>836</v>
      </c>
    </row>
    <row r="52" spans="1:5" s="340" customFormat="1" ht="39.950000000000003" customHeight="1" x14ac:dyDescent="0.2">
      <c r="A52" s="365" t="s">
        <v>309</v>
      </c>
      <c r="B52" s="235" t="s">
        <v>833</v>
      </c>
      <c r="C52" s="75">
        <v>9.49</v>
      </c>
      <c r="D52" s="75" t="s">
        <v>837</v>
      </c>
      <c r="E52" s="613"/>
    </row>
    <row r="53" spans="1:5" s="367" customFormat="1" ht="39.950000000000003" customHeight="1" x14ac:dyDescent="0.2">
      <c r="A53" s="359"/>
      <c r="B53" s="360"/>
      <c r="C53" s="360"/>
      <c r="D53" s="360"/>
      <c r="E53" s="366"/>
    </row>
    <row r="54" spans="1:5" s="340" customFormat="1" ht="36.950000000000003" customHeight="1" x14ac:dyDescent="0.2">
      <c r="A54" s="362"/>
      <c r="B54" s="363"/>
      <c r="C54" s="363"/>
      <c r="D54" s="363"/>
      <c r="E54" s="368"/>
    </row>
    <row r="55" spans="1:5" s="340" customFormat="1" ht="35.1" customHeight="1" x14ac:dyDescent="0.2">
      <c r="A55" s="353" t="s">
        <v>373</v>
      </c>
      <c r="B55" s="354" t="s">
        <v>59</v>
      </c>
      <c r="C55" s="355" t="s">
        <v>759</v>
      </c>
      <c r="D55" s="356" t="s">
        <v>60</v>
      </c>
      <c r="E55" s="353" t="s">
        <v>61</v>
      </c>
    </row>
    <row r="56" spans="1:5" s="340" customFormat="1" ht="39.950000000000003" customHeight="1" x14ac:dyDescent="0.2">
      <c r="A56" s="357" t="s">
        <v>483</v>
      </c>
      <c r="B56" s="192" t="s">
        <v>76</v>
      </c>
      <c r="C56" s="81">
        <v>3.74</v>
      </c>
      <c r="D56" s="81" t="s">
        <v>838</v>
      </c>
      <c r="E56" s="616" t="s">
        <v>839</v>
      </c>
    </row>
    <row r="57" spans="1:5" s="340" customFormat="1" ht="39.950000000000003" customHeight="1" x14ac:dyDescent="0.2">
      <c r="A57" s="357" t="s">
        <v>653</v>
      </c>
      <c r="B57" s="192" t="s">
        <v>76</v>
      </c>
      <c r="C57" s="81">
        <v>4.29</v>
      </c>
      <c r="D57" s="81" t="s">
        <v>840</v>
      </c>
      <c r="E57" s="613"/>
    </row>
    <row r="58" spans="1:5" s="340" customFormat="1" ht="39.950000000000003" customHeight="1" x14ac:dyDescent="0.2">
      <c r="A58" s="357" t="s">
        <v>24</v>
      </c>
      <c r="B58" s="192" t="s">
        <v>72</v>
      </c>
      <c r="C58" s="81" t="s">
        <v>841</v>
      </c>
      <c r="D58" s="81" t="s">
        <v>842</v>
      </c>
      <c r="E58" s="616" t="s">
        <v>843</v>
      </c>
    </row>
    <row r="59" spans="1:5" s="340" customFormat="1" ht="39.950000000000003" customHeight="1" x14ac:dyDescent="0.2">
      <c r="A59" s="357" t="s">
        <v>310</v>
      </c>
      <c r="B59" s="192" t="s">
        <v>72</v>
      </c>
      <c r="C59" s="81" t="s">
        <v>844</v>
      </c>
      <c r="D59" s="81" t="s">
        <v>845</v>
      </c>
      <c r="E59" s="613"/>
    </row>
    <row r="60" spans="1:5" s="340" customFormat="1" ht="35.1" customHeight="1" x14ac:dyDescent="0.2">
      <c r="A60" s="357" t="s">
        <v>91</v>
      </c>
      <c r="B60" s="192" t="s">
        <v>72</v>
      </c>
      <c r="C60" s="81" t="s">
        <v>846</v>
      </c>
      <c r="D60" s="81" t="s">
        <v>847</v>
      </c>
      <c r="E60" s="337" t="s">
        <v>848</v>
      </c>
    </row>
    <row r="61" spans="1:5" s="340" customFormat="1" ht="45" customHeight="1" x14ac:dyDescent="0.2">
      <c r="A61" s="357" t="s">
        <v>25</v>
      </c>
      <c r="B61" s="192" t="s">
        <v>72</v>
      </c>
      <c r="C61" s="81">
        <v>6.99</v>
      </c>
      <c r="D61" s="81" t="s">
        <v>849</v>
      </c>
      <c r="E61" s="613" t="s">
        <v>850</v>
      </c>
    </row>
    <row r="62" spans="1:5" s="340" customFormat="1" ht="45" customHeight="1" x14ac:dyDescent="0.2">
      <c r="A62" s="357" t="s">
        <v>531</v>
      </c>
      <c r="B62" s="192" t="s">
        <v>72</v>
      </c>
      <c r="C62" s="81">
        <v>7.6</v>
      </c>
      <c r="D62" s="81" t="s">
        <v>851</v>
      </c>
      <c r="E62" s="613"/>
    </row>
    <row r="63" spans="1:5" s="340" customFormat="1" ht="39.950000000000003" customHeight="1" x14ac:dyDescent="0.2">
      <c r="A63" s="357" t="s">
        <v>646</v>
      </c>
      <c r="B63" s="192" t="s">
        <v>852</v>
      </c>
      <c r="C63" s="81" t="s">
        <v>853</v>
      </c>
      <c r="D63" s="81" t="s">
        <v>854</v>
      </c>
      <c r="E63" s="616" t="s">
        <v>855</v>
      </c>
    </row>
    <row r="64" spans="1:5" s="340" customFormat="1" ht="39.950000000000003" customHeight="1" x14ac:dyDescent="0.2">
      <c r="A64" s="357" t="s">
        <v>654</v>
      </c>
      <c r="B64" s="192" t="s">
        <v>852</v>
      </c>
      <c r="C64" s="81" t="s">
        <v>856</v>
      </c>
      <c r="D64" s="81" t="s">
        <v>857</v>
      </c>
      <c r="E64" s="613"/>
    </row>
    <row r="65" spans="1:5" s="340" customFormat="1" ht="39.950000000000003" customHeight="1" x14ac:dyDescent="0.2">
      <c r="A65" s="357" t="s">
        <v>27</v>
      </c>
      <c r="B65" s="192" t="s">
        <v>375</v>
      </c>
      <c r="C65" s="81">
        <v>2.42</v>
      </c>
      <c r="D65" s="81" t="s">
        <v>858</v>
      </c>
      <c r="E65" s="613" t="s">
        <v>859</v>
      </c>
    </row>
    <row r="66" spans="1:5" s="340" customFormat="1" ht="39.950000000000003" customHeight="1" x14ac:dyDescent="0.2">
      <c r="A66" s="357" t="s">
        <v>28</v>
      </c>
      <c r="B66" s="192" t="s">
        <v>375</v>
      </c>
      <c r="C66" s="81">
        <v>3.3</v>
      </c>
      <c r="D66" s="81" t="s">
        <v>379</v>
      </c>
      <c r="E66" s="613"/>
    </row>
    <row r="67" spans="1:5" s="340" customFormat="1" ht="90" x14ac:dyDescent="0.2">
      <c r="A67" s="194" t="s">
        <v>860</v>
      </c>
      <c r="B67" s="192" t="s">
        <v>861</v>
      </c>
      <c r="C67" s="81" t="s">
        <v>862</v>
      </c>
      <c r="D67" s="81" t="s">
        <v>863</v>
      </c>
      <c r="E67" s="358" t="s">
        <v>864</v>
      </c>
    </row>
    <row r="68" spans="1:5" s="340" customFormat="1" ht="45" customHeight="1" x14ac:dyDescent="0.2">
      <c r="A68" s="357" t="s">
        <v>29</v>
      </c>
      <c r="B68" s="192" t="s">
        <v>545</v>
      </c>
      <c r="C68" s="81" t="s">
        <v>865</v>
      </c>
      <c r="D68" s="81" t="s">
        <v>866</v>
      </c>
      <c r="E68" s="358" t="s">
        <v>867</v>
      </c>
    </row>
    <row r="69" spans="1:5" s="340" customFormat="1" ht="35.1" customHeight="1" x14ac:dyDescent="0.2">
      <c r="A69" s="357" t="s">
        <v>30</v>
      </c>
      <c r="B69" s="192" t="s">
        <v>72</v>
      </c>
      <c r="C69" s="81" t="s">
        <v>868</v>
      </c>
      <c r="D69" s="81" t="s">
        <v>869</v>
      </c>
      <c r="E69" s="616" t="s">
        <v>870</v>
      </c>
    </row>
    <row r="70" spans="1:5" s="340" customFormat="1" ht="35.1" customHeight="1" x14ac:dyDescent="0.2">
      <c r="A70" s="357" t="s">
        <v>31</v>
      </c>
      <c r="B70" s="192" t="s">
        <v>72</v>
      </c>
      <c r="C70" s="81" t="s">
        <v>871</v>
      </c>
      <c r="D70" s="81" t="s">
        <v>872</v>
      </c>
      <c r="E70" s="613"/>
    </row>
    <row r="71" spans="1:5" s="340" customFormat="1" ht="35.1" customHeight="1" x14ac:dyDescent="0.2">
      <c r="A71" s="357" t="s">
        <v>73</v>
      </c>
      <c r="B71" s="192" t="s">
        <v>873</v>
      </c>
      <c r="C71" s="81">
        <v>2.13</v>
      </c>
      <c r="D71" s="81">
        <v>234.29999999999998</v>
      </c>
      <c r="E71" s="616" t="s">
        <v>874</v>
      </c>
    </row>
    <row r="72" spans="1:5" s="340" customFormat="1" ht="35.1" customHeight="1" x14ac:dyDescent="0.2">
      <c r="A72" s="357" t="s">
        <v>532</v>
      </c>
      <c r="B72" s="192" t="s">
        <v>873</v>
      </c>
      <c r="C72" s="81">
        <v>2.2000000000000002</v>
      </c>
      <c r="D72" s="81">
        <v>242.00000000000003</v>
      </c>
      <c r="E72" s="613"/>
    </row>
    <row r="73" spans="1:5" s="340" customFormat="1" ht="60" x14ac:dyDescent="0.2">
      <c r="A73" s="357" t="s">
        <v>92</v>
      </c>
      <c r="B73" s="192" t="s">
        <v>51</v>
      </c>
      <c r="C73" s="81">
        <v>5.72</v>
      </c>
      <c r="D73" s="81">
        <v>171.6</v>
      </c>
      <c r="E73" s="358" t="s">
        <v>875</v>
      </c>
    </row>
    <row r="74" spans="1:5" s="340" customFormat="1" ht="90" x14ac:dyDescent="0.2">
      <c r="A74" s="357" t="s">
        <v>876</v>
      </c>
      <c r="B74" s="192" t="s">
        <v>826</v>
      </c>
      <c r="C74" s="81">
        <v>2.02</v>
      </c>
      <c r="D74" s="81">
        <f>C74*B74</f>
        <v>161.6</v>
      </c>
      <c r="E74" s="358" t="s">
        <v>877</v>
      </c>
    </row>
    <row r="75" spans="1:5" s="340" customFormat="1" ht="36.950000000000003" customHeight="1" x14ac:dyDescent="0.2">
      <c r="A75" s="359"/>
      <c r="B75" s="360"/>
      <c r="C75" s="360"/>
      <c r="D75" s="360"/>
      <c r="E75" s="361"/>
    </row>
    <row r="76" spans="1:5" s="340" customFormat="1" ht="24.75" customHeight="1" x14ac:dyDescent="0.2">
      <c r="A76" s="362"/>
      <c r="B76" s="363"/>
      <c r="C76" s="363"/>
      <c r="D76" s="363"/>
      <c r="E76" s="364"/>
    </row>
    <row r="77" spans="1:5" s="340" customFormat="1" ht="35.1" customHeight="1" x14ac:dyDescent="0.2">
      <c r="A77" s="353" t="s">
        <v>373</v>
      </c>
      <c r="B77" s="354" t="s">
        <v>59</v>
      </c>
      <c r="C77" s="355" t="s">
        <v>759</v>
      </c>
      <c r="D77" s="356" t="s">
        <v>60</v>
      </c>
      <c r="E77" s="353" t="s">
        <v>61</v>
      </c>
    </row>
    <row r="78" spans="1:5" s="340" customFormat="1" ht="30" x14ac:dyDescent="0.2">
      <c r="A78" s="357" t="s">
        <v>32</v>
      </c>
      <c r="B78" s="192" t="s">
        <v>545</v>
      </c>
      <c r="C78" s="81">
        <v>5.95</v>
      </c>
      <c r="D78" s="81">
        <v>59.5</v>
      </c>
      <c r="E78" s="358" t="s">
        <v>878</v>
      </c>
    </row>
    <row r="79" spans="1:5" s="340" customFormat="1" ht="45" x14ac:dyDescent="0.2">
      <c r="A79" s="357" t="s">
        <v>33</v>
      </c>
      <c r="B79" s="192" t="s">
        <v>543</v>
      </c>
      <c r="C79" s="81" t="s">
        <v>879</v>
      </c>
      <c r="D79" s="81" t="s">
        <v>880</v>
      </c>
      <c r="E79" s="358" t="s">
        <v>881</v>
      </c>
    </row>
    <row r="80" spans="1:5" s="340" customFormat="1" ht="35.1" customHeight="1" x14ac:dyDescent="0.2">
      <c r="A80" s="357" t="s">
        <v>34</v>
      </c>
      <c r="B80" s="192" t="s">
        <v>882</v>
      </c>
      <c r="C80" s="81" t="s">
        <v>883</v>
      </c>
      <c r="D80" s="81" t="s">
        <v>884</v>
      </c>
      <c r="E80" s="616" t="s">
        <v>885</v>
      </c>
    </row>
    <row r="81" spans="1:5" s="340" customFormat="1" ht="35.1" customHeight="1" x14ac:dyDescent="0.2">
      <c r="A81" s="357" t="s">
        <v>35</v>
      </c>
      <c r="B81" s="192" t="s">
        <v>882</v>
      </c>
      <c r="C81" s="81">
        <v>2.98</v>
      </c>
      <c r="D81" s="81" t="s">
        <v>886</v>
      </c>
      <c r="E81" s="613"/>
    </row>
    <row r="82" spans="1:5" s="340" customFormat="1" ht="35.1" customHeight="1" x14ac:dyDescent="0.2">
      <c r="A82" s="357" t="s">
        <v>648</v>
      </c>
      <c r="B82" s="192" t="s">
        <v>543</v>
      </c>
      <c r="C82" s="81" t="s">
        <v>887</v>
      </c>
      <c r="D82" s="81" t="s">
        <v>888</v>
      </c>
      <c r="E82" s="358" t="s">
        <v>889</v>
      </c>
    </row>
    <row r="83" spans="1:5" s="340" customFormat="1" ht="45" x14ac:dyDescent="0.2">
      <c r="A83" s="357" t="s">
        <v>36</v>
      </c>
      <c r="B83" s="192" t="s">
        <v>882</v>
      </c>
      <c r="C83" s="81" t="s">
        <v>890</v>
      </c>
      <c r="D83" s="81" t="s">
        <v>891</v>
      </c>
      <c r="E83" s="358" t="s">
        <v>892</v>
      </c>
    </row>
    <row r="84" spans="1:5" s="340" customFormat="1" ht="35.1" customHeight="1" x14ac:dyDescent="0.2">
      <c r="A84" s="357" t="s">
        <v>686</v>
      </c>
      <c r="B84" s="192" t="s">
        <v>74</v>
      </c>
      <c r="C84" s="81" t="s">
        <v>893</v>
      </c>
      <c r="D84" s="81" t="s">
        <v>894</v>
      </c>
      <c r="E84" s="616" t="s">
        <v>895</v>
      </c>
    </row>
    <row r="85" spans="1:5" s="340" customFormat="1" ht="35.1" customHeight="1" x14ac:dyDescent="0.2">
      <c r="A85" s="357" t="s">
        <v>896</v>
      </c>
      <c r="B85" s="192" t="s">
        <v>74</v>
      </c>
      <c r="C85" s="81" t="s">
        <v>897</v>
      </c>
      <c r="D85" s="81" t="s">
        <v>898</v>
      </c>
      <c r="E85" s="613"/>
    </row>
    <row r="86" spans="1:5" s="340" customFormat="1" ht="35.1" customHeight="1" x14ac:dyDescent="0.2">
      <c r="A86" s="357" t="s">
        <v>380</v>
      </c>
      <c r="B86" s="192" t="s">
        <v>543</v>
      </c>
      <c r="C86" s="81">
        <v>21.52</v>
      </c>
      <c r="D86" s="81">
        <v>430.4</v>
      </c>
      <c r="E86" s="337" t="s">
        <v>899</v>
      </c>
    </row>
    <row r="87" spans="1:5" s="340" customFormat="1" ht="60" x14ac:dyDescent="0.2">
      <c r="A87" s="357" t="s">
        <v>443</v>
      </c>
      <c r="B87" s="192">
        <v>25</v>
      </c>
      <c r="C87" s="81">
        <v>6.26</v>
      </c>
      <c r="D87" s="81">
        <v>156.5</v>
      </c>
      <c r="E87" s="358" t="s">
        <v>900</v>
      </c>
    </row>
    <row r="88" spans="1:5" s="340" customFormat="1" ht="35.1" customHeight="1" x14ac:dyDescent="0.2">
      <c r="A88" s="357" t="s">
        <v>37</v>
      </c>
      <c r="B88" s="192" t="s">
        <v>76</v>
      </c>
      <c r="C88" s="81" t="s">
        <v>901</v>
      </c>
      <c r="D88" s="81" t="s">
        <v>902</v>
      </c>
      <c r="E88" s="620" t="s">
        <v>903</v>
      </c>
    </row>
    <row r="89" spans="1:5" s="340" customFormat="1" ht="35.1" customHeight="1" x14ac:dyDescent="0.2">
      <c r="A89" s="357" t="s">
        <v>93</v>
      </c>
      <c r="B89" s="192" t="s">
        <v>76</v>
      </c>
      <c r="C89" s="81">
        <v>3.74</v>
      </c>
      <c r="D89" s="81" t="s">
        <v>838</v>
      </c>
      <c r="E89" s="621"/>
    </row>
    <row r="90" spans="1:5" s="340" customFormat="1" ht="35.1" customHeight="1" x14ac:dyDescent="0.2">
      <c r="A90" s="357" t="s">
        <v>205</v>
      </c>
      <c r="B90" s="192">
        <v>150</v>
      </c>
      <c r="C90" s="81">
        <v>2.46</v>
      </c>
      <c r="D90" s="81">
        <v>369</v>
      </c>
      <c r="E90" s="358" t="s">
        <v>904</v>
      </c>
    </row>
    <row r="91" spans="1:5" s="340" customFormat="1" ht="35.1" customHeight="1" x14ac:dyDescent="0.2">
      <c r="A91" s="357" t="s">
        <v>38</v>
      </c>
      <c r="B91" s="192">
        <v>12</v>
      </c>
      <c r="C91" s="81" t="s">
        <v>905</v>
      </c>
      <c r="D91" s="81" t="s">
        <v>906</v>
      </c>
      <c r="E91" s="616" t="s">
        <v>907</v>
      </c>
    </row>
    <row r="92" spans="1:5" s="340" customFormat="1" ht="35.1" customHeight="1" x14ac:dyDescent="0.2">
      <c r="A92" s="357" t="s">
        <v>39</v>
      </c>
      <c r="B92" s="192">
        <v>12</v>
      </c>
      <c r="C92" s="81">
        <v>16.940000000000001</v>
      </c>
      <c r="D92" s="81">
        <v>203.28000000000003</v>
      </c>
      <c r="E92" s="613"/>
    </row>
    <row r="93" spans="1:5" s="340" customFormat="1" ht="35.1" customHeight="1" x14ac:dyDescent="0.2">
      <c r="A93" s="357" t="s">
        <v>381</v>
      </c>
      <c r="B93" s="192" t="s">
        <v>382</v>
      </c>
      <c r="C93" s="81">
        <v>2.31</v>
      </c>
      <c r="D93" s="81" t="s">
        <v>908</v>
      </c>
      <c r="E93" s="616" t="s">
        <v>909</v>
      </c>
    </row>
    <row r="94" spans="1:5" s="340" customFormat="1" ht="35.1" customHeight="1" x14ac:dyDescent="0.2">
      <c r="A94" s="357" t="s">
        <v>383</v>
      </c>
      <c r="B94" s="192" t="s">
        <v>382</v>
      </c>
      <c r="C94" s="81">
        <v>2.5299999999999998</v>
      </c>
      <c r="D94" s="81" t="s">
        <v>487</v>
      </c>
      <c r="E94" s="613"/>
    </row>
    <row r="95" spans="1:5" s="340" customFormat="1" ht="45" customHeight="1" x14ac:dyDescent="0.2">
      <c r="A95" s="357" t="s">
        <v>40</v>
      </c>
      <c r="B95" s="192" t="s">
        <v>910</v>
      </c>
      <c r="C95" s="81" t="s">
        <v>911</v>
      </c>
      <c r="D95" s="81" t="s">
        <v>912</v>
      </c>
      <c r="E95" s="358" t="s">
        <v>913</v>
      </c>
    </row>
    <row r="96" spans="1:5" s="340" customFormat="1" ht="45" customHeight="1" x14ac:dyDescent="0.2">
      <c r="A96" s="357" t="s">
        <v>482</v>
      </c>
      <c r="B96" s="192" t="s">
        <v>910</v>
      </c>
      <c r="C96" s="81" t="s">
        <v>914</v>
      </c>
      <c r="D96" s="81" t="s">
        <v>915</v>
      </c>
      <c r="E96" s="358" t="s">
        <v>916</v>
      </c>
    </row>
    <row r="97" spans="1:5" s="340" customFormat="1" ht="35.1" customHeight="1" x14ac:dyDescent="0.2">
      <c r="A97" s="357" t="s">
        <v>41</v>
      </c>
      <c r="B97" s="192" t="s">
        <v>917</v>
      </c>
      <c r="C97" s="81" t="s">
        <v>918</v>
      </c>
      <c r="D97" s="81" t="s">
        <v>919</v>
      </c>
      <c r="E97" s="613" t="s">
        <v>920</v>
      </c>
    </row>
    <row r="98" spans="1:5" s="340" customFormat="1" ht="35.1" customHeight="1" x14ac:dyDescent="0.2">
      <c r="A98" s="357" t="s">
        <v>42</v>
      </c>
      <c r="B98" s="192" t="s">
        <v>917</v>
      </c>
      <c r="C98" s="81" t="s">
        <v>921</v>
      </c>
      <c r="D98" s="81" t="s">
        <v>922</v>
      </c>
      <c r="E98" s="613"/>
    </row>
    <row r="99" spans="1:5" s="369" customFormat="1" ht="35.1" customHeight="1" x14ac:dyDescent="0.2">
      <c r="A99" s="357" t="s">
        <v>385</v>
      </c>
      <c r="B99" s="192">
        <v>15</v>
      </c>
      <c r="C99" s="81">
        <v>26.01</v>
      </c>
      <c r="D99" s="81">
        <v>390.15000000000003</v>
      </c>
      <c r="E99" s="358" t="s">
        <v>923</v>
      </c>
    </row>
    <row r="100" spans="1:5" s="369" customFormat="1" ht="45" x14ac:dyDescent="0.2">
      <c r="A100" s="357" t="s">
        <v>386</v>
      </c>
      <c r="B100" s="192">
        <v>15</v>
      </c>
      <c r="C100" s="81">
        <v>5.83</v>
      </c>
      <c r="D100" s="81">
        <v>87.45</v>
      </c>
      <c r="E100" s="358" t="s">
        <v>924</v>
      </c>
    </row>
    <row r="101" spans="1:5" s="369" customFormat="1" ht="24.75" customHeight="1" x14ac:dyDescent="0.2">
      <c r="A101" s="362"/>
      <c r="B101" s="363"/>
      <c r="C101" s="363"/>
      <c r="D101" s="363"/>
      <c r="E101" s="364"/>
    </row>
    <row r="102" spans="1:5" s="340" customFormat="1" ht="35.1" customHeight="1" x14ac:dyDescent="0.2">
      <c r="A102" s="370" t="s">
        <v>444</v>
      </c>
      <c r="B102" s="371" t="s">
        <v>59</v>
      </c>
      <c r="C102" s="372" t="s">
        <v>387</v>
      </c>
      <c r="D102" s="373" t="s">
        <v>388</v>
      </c>
      <c r="E102" s="371" t="s">
        <v>389</v>
      </c>
    </row>
    <row r="103" spans="1:5" s="340" customFormat="1" ht="39.950000000000003" customHeight="1" x14ac:dyDescent="0.2">
      <c r="A103" s="339" t="s">
        <v>445</v>
      </c>
      <c r="B103" s="192">
        <v>25</v>
      </c>
      <c r="C103" s="374">
        <v>3.4</v>
      </c>
      <c r="D103" s="208">
        <f>C103*B103</f>
        <v>85</v>
      </c>
      <c r="E103" s="193" t="s">
        <v>925</v>
      </c>
    </row>
    <row r="104" spans="1:5" s="340" customFormat="1" ht="39.950000000000003" customHeight="1" x14ac:dyDescent="0.2">
      <c r="A104" s="339" t="s">
        <v>684</v>
      </c>
      <c r="B104" s="192">
        <v>10</v>
      </c>
      <c r="C104" s="374">
        <v>4.5</v>
      </c>
      <c r="D104" s="208">
        <v>45</v>
      </c>
      <c r="E104" s="193" t="s">
        <v>926</v>
      </c>
    </row>
    <row r="105" spans="1:5" s="340" customFormat="1" ht="39.950000000000003" customHeight="1" x14ac:dyDescent="0.2">
      <c r="A105" s="339" t="s">
        <v>446</v>
      </c>
      <c r="B105" s="192">
        <v>20</v>
      </c>
      <c r="C105" s="374">
        <v>4</v>
      </c>
      <c r="D105" s="208">
        <f>C105*B105</f>
        <v>80</v>
      </c>
      <c r="E105" s="193" t="s">
        <v>927</v>
      </c>
    </row>
    <row r="106" spans="1:5" s="375" customFormat="1" ht="14.45" customHeight="1" x14ac:dyDescent="0.2">
      <c r="A106" s="617" t="s">
        <v>928</v>
      </c>
      <c r="B106" s="618"/>
      <c r="C106" s="618"/>
      <c r="D106" s="618"/>
      <c r="E106" s="619"/>
    </row>
    <row r="107" spans="1:5" s="340" customFormat="1" ht="35.1" customHeight="1" x14ac:dyDescent="0.2"/>
    <row r="108" spans="1:5" s="340" customFormat="1" ht="35.1" customHeight="1" x14ac:dyDescent="0.2">
      <c r="A108" s="370" t="s">
        <v>77</v>
      </c>
      <c r="B108" s="371" t="s">
        <v>59</v>
      </c>
      <c r="C108" s="372" t="s">
        <v>387</v>
      </c>
      <c r="D108" s="373" t="s">
        <v>388</v>
      </c>
      <c r="E108" s="371" t="s">
        <v>389</v>
      </c>
    </row>
    <row r="109" spans="1:5" s="340" customFormat="1" ht="33.6" customHeight="1" x14ac:dyDescent="0.2">
      <c r="A109" s="339" t="s">
        <v>488</v>
      </c>
      <c r="B109" s="192">
        <v>23</v>
      </c>
      <c r="C109" s="374">
        <v>3.45</v>
      </c>
      <c r="D109" s="208">
        <f>C109*B109</f>
        <v>79.350000000000009</v>
      </c>
      <c r="E109" s="193" t="s">
        <v>929</v>
      </c>
    </row>
    <row r="110" spans="1:5" s="340" customFormat="1" ht="33.6" customHeight="1" x14ac:dyDescent="0.2">
      <c r="A110" s="339" t="s">
        <v>447</v>
      </c>
      <c r="B110" s="192">
        <v>23</v>
      </c>
      <c r="C110" s="374">
        <v>3.51</v>
      </c>
      <c r="D110" s="208">
        <f t="shared" ref="D110:D129" si="0">C110*B110</f>
        <v>80.72999999999999</v>
      </c>
      <c r="E110" s="193" t="s">
        <v>930</v>
      </c>
    </row>
    <row r="111" spans="1:5" s="340" customFormat="1" ht="33.6" customHeight="1" x14ac:dyDescent="0.2">
      <c r="A111" s="339" t="s">
        <v>451</v>
      </c>
      <c r="B111" s="192">
        <v>28</v>
      </c>
      <c r="C111" s="374">
        <v>3.24</v>
      </c>
      <c r="D111" s="208">
        <f t="shared" si="0"/>
        <v>90.72</v>
      </c>
      <c r="E111" s="209" t="s">
        <v>931</v>
      </c>
    </row>
    <row r="112" spans="1:5" s="340" customFormat="1" ht="33.6" customHeight="1" x14ac:dyDescent="0.2">
      <c r="A112" s="339" t="s">
        <v>691</v>
      </c>
      <c r="B112" s="192">
        <v>23</v>
      </c>
      <c r="C112" s="374">
        <v>3.34</v>
      </c>
      <c r="D112" s="208">
        <f t="shared" si="0"/>
        <v>76.819999999999993</v>
      </c>
      <c r="E112" s="193" t="s">
        <v>932</v>
      </c>
    </row>
    <row r="113" spans="1:5" s="340" customFormat="1" ht="33.6" customHeight="1" x14ac:dyDescent="0.2">
      <c r="A113" s="339" t="s">
        <v>337</v>
      </c>
      <c r="B113" s="192">
        <v>25</v>
      </c>
      <c r="C113" s="374">
        <v>3.2</v>
      </c>
      <c r="D113" s="208">
        <f t="shared" si="0"/>
        <v>80</v>
      </c>
      <c r="E113" s="193" t="s">
        <v>490</v>
      </c>
    </row>
    <row r="114" spans="1:5" s="340" customFormat="1" ht="33.6" customHeight="1" x14ac:dyDescent="0.2">
      <c r="A114" s="339" t="s">
        <v>448</v>
      </c>
      <c r="B114" s="192">
        <v>33</v>
      </c>
      <c r="C114" s="374">
        <v>3.39</v>
      </c>
      <c r="D114" s="208">
        <f t="shared" si="0"/>
        <v>111.87</v>
      </c>
      <c r="E114" s="193" t="s">
        <v>933</v>
      </c>
    </row>
    <row r="115" spans="1:5" s="340" customFormat="1" ht="33.6" customHeight="1" x14ac:dyDescent="0.2">
      <c r="A115" s="339" t="s">
        <v>692</v>
      </c>
      <c r="B115" s="192">
        <v>30</v>
      </c>
      <c r="C115" s="374">
        <v>3.62</v>
      </c>
      <c r="D115" s="208">
        <f>C115*B115</f>
        <v>108.60000000000001</v>
      </c>
      <c r="E115" s="193" t="s">
        <v>934</v>
      </c>
    </row>
    <row r="116" spans="1:5" s="340" customFormat="1" ht="33.6" customHeight="1" x14ac:dyDescent="0.2">
      <c r="A116" s="339" t="s">
        <v>693</v>
      </c>
      <c r="B116" s="192">
        <v>33</v>
      </c>
      <c r="C116" s="374">
        <v>3.58</v>
      </c>
      <c r="D116" s="208">
        <f t="shared" si="0"/>
        <v>118.14</v>
      </c>
      <c r="E116" s="193" t="s">
        <v>935</v>
      </c>
    </row>
    <row r="117" spans="1:5" s="340" customFormat="1" ht="33.6" customHeight="1" x14ac:dyDescent="0.2">
      <c r="A117" s="339" t="s">
        <v>449</v>
      </c>
      <c r="B117" s="192">
        <v>43</v>
      </c>
      <c r="C117" s="374">
        <v>2.97</v>
      </c>
      <c r="D117" s="208">
        <f t="shared" si="0"/>
        <v>127.71000000000001</v>
      </c>
      <c r="E117" s="193" t="s">
        <v>339</v>
      </c>
    </row>
    <row r="118" spans="1:5" s="340" customFormat="1" ht="33.6" customHeight="1" x14ac:dyDescent="0.2">
      <c r="A118" s="339" t="s">
        <v>694</v>
      </c>
      <c r="B118" s="192">
        <v>35</v>
      </c>
      <c r="C118" s="374">
        <v>3.15</v>
      </c>
      <c r="D118" s="208">
        <f t="shared" si="0"/>
        <v>110.25</v>
      </c>
      <c r="E118" s="193" t="s">
        <v>936</v>
      </c>
    </row>
    <row r="119" spans="1:5" s="340" customFormat="1" ht="33.6" customHeight="1" x14ac:dyDescent="0.2">
      <c r="A119" s="339" t="s">
        <v>452</v>
      </c>
      <c r="B119" s="192">
        <v>55</v>
      </c>
      <c r="C119" s="374">
        <v>3</v>
      </c>
      <c r="D119" s="208">
        <f t="shared" si="0"/>
        <v>165</v>
      </c>
      <c r="E119" s="193" t="s">
        <v>937</v>
      </c>
    </row>
    <row r="120" spans="1:5" s="340" customFormat="1" ht="33.6" customHeight="1" x14ac:dyDescent="0.2">
      <c r="A120" s="339" t="s">
        <v>450</v>
      </c>
      <c r="B120" s="192">
        <v>45</v>
      </c>
      <c r="C120" s="374">
        <v>3.19</v>
      </c>
      <c r="D120" s="208">
        <f t="shared" si="0"/>
        <v>143.55000000000001</v>
      </c>
      <c r="E120" s="193" t="s">
        <v>938</v>
      </c>
    </row>
    <row r="121" spans="1:5" s="340" customFormat="1" ht="33.6" customHeight="1" x14ac:dyDescent="0.2">
      <c r="A121" s="339" t="s">
        <v>695</v>
      </c>
      <c r="B121" s="192">
        <v>30</v>
      </c>
      <c r="C121" s="374">
        <v>4.12</v>
      </c>
      <c r="D121" s="208">
        <f t="shared" si="0"/>
        <v>123.60000000000001</v>
      </c>
      <c r="E121" s="193" t="s">
        <v>939</v>
      </c>
    </row>
    <row r="122" spans="1:5" s="340" customFormat="1" ht="33.6" customHeight="1" x14ac:dyDescent="0.2">
      <c r="A122" s="339" t="s">
        <v>696</v>
      </c>
      <c r="B122" s="192">
        <v>25</v>
      </c>
      <c r="C122" s="374">
        <v>4.12</v>
      </c>
      <c r="D122" s="208">
        <f t="shared" si="0"/>
        <v>103</v>
      </c>
      <c r="E122" s="193" t="s">
        <v>940</v>
      </c>
    </row>
    <row r="123" spans="1:5" s="340" customFormat="1" ht="33.6" customHeight="1" x14ac:dyDescent="0.2">
      <c r="A123" s="339" t="s">
        <v>493</v>
      </c>
      <c r="B123" s="192">
        <v>40</v>
      </c>
      <c r="C123" s="374">
        <v>4.0999999999999996</v>
      </c>
      <c r="D123" s="208">
        <f t="shared" si="0"/>
        <v>164</v>
      </c>
      <c r="E123" s="193" t="s">
        <v>941</v>
      </c>
    </row>
    <row r="124" spans="1:5" s="340" customFormat="1" ht="33.6" customHeight="1" x14ac:dyDescent="0.2">
      <c r="A124" s="339" t="s">
        <v>697</v>
      </c>
      <c r="B124" s="192">
        <v>25</v>
      </c>
      <c r="C124" s="374">
        <v>3.85</v>
      </c>
      <c r="D124" s="208">
        <f t="shared" si="0"/>
        <v>96.25</v>
      </c>
      <c r="E124" s="209" t="s">
        <v>942</v>
      </c>
    </row>
    <row r="125" spans="1:5" s="340" customFormat="1" ht="33.6" customHeight="1" x14ac:dyDescent="0.2">
      <c r="A125" s="339" t="s">
        <v>698</v>
      </c>
      <c r="B125" s="192">
        <v>35</v>
      </c>
      <c r="C125" s="374">
        <v>4.16</v>
      </c>
      <c r="D125" s="208">
        <f t="shared" si="0"/>
        <v>145.6</v>
      </c>
      <c r="E125" s="209" t="s">
        <v>943</v>
      </c>
    </row>
    <row r="126" spans="1:5" s="340" customFormat="1" ht="33.6" customHeight="1" x14ac:dyDescent="0.2">
      <c r="A126" s="339" t="s">
        <v>699</v>
      </c>
      <c r="B126" s="192">
        <v>45</v>
      </c>
      <c r="C126" s="374">
        <v>3.6</v>
      </c>
      <c r="D126" s="208">
        <f t="shared" si="0"/>
        <v>162</v>
      </c>
      <c r="E126" s="209" t="s">
        <v>944</v>
      </c>
    </row>
    <row r="127" spans="1:5" s="340" customFormat="1" ht="33.6" customHeight="1" x14ac:dyDescent="0.2">
      <c r="A127" s="339" t="s">
        <v>700</v>
      </c>
      <c r="B127" s="192">
        <v>45</v>
      </c>
      <c r="C127" s="374">
        <v>3.71</v>
      </c>
      <c r="D127" s="208">
        <f t="shared" si="0"/>
        <v>166.95</v>
      </c>
      <c r="E127" s="193" t="s">
        <v>945</v>
      </c>
    </row>
    <row r="128" spans="1:5" s="340" customFormat="1" ht="33.6" customHeight="1" x14ac:dyDescent="0.2">
      <c r="A128" s="339" t="s">
        <v>701</v>
      </c>
      <c r="B128" s="192">
        <v>30</v>
      </c>
      <c r="C128" s="374">
        <v>4.7699999999999996</v>
      </c>
      <c r="D128" s="208">
        <f t="shared" si="0"/>
        <v>143.1</v>
      </c>
      <c r="E128" s="193" t="s">
        <v>946</v>
      </c>
    </row>
    <row r="129" spans="1:5" s="340" customFormat="1" ht="33.6" customHeight="1" x14ac:dyDescent="0.2">
      <c r="A129" s="339" t="s">
        <v>702</v>
      </c>
      <c r="B129" s="192">
        <v>45</v>
      </c>
      <c r="C129" s="374">
        <v>3.14</v>
      </c>
      <c r="D129" s="208">
        <f t="shared" si="0"/>
        <v>141.30000000000001</v>
      </c>
      <c r="E129" s="193" t="s">
        <v>947</v>
      </c>
    </row>
    <row r="130" spans="1:5" s="375" customFormat="1" ht="14.45" customHeight="1" x14ac:dyDescent="0.2">
      <c r="A130" s="617" t="s">
        <v>948</v>
      </c>
      <c r="B130" s="618"/>
      <c r="C130" s="618"/>
      <c r="D130" s="618"/>
      <c r="E130" s="619"/>
    </row>
    <row r="131" spans="1:5" s="340" customFormat="1" ht="35.1" customHeight="1" x14ac:dyDescent="0.2">
      <c r="A131" s="376" t="s">
        <v>95</v>
      </c>
      <c r="B131" s="377" t="s">
        <v>59</v>
      </c>
      <c r="C131" s="356" t="s">
        <v>387</v>
      </c>
      <c r="D131" s="378" t="s">
        <v>388</v>
      </c>
      <c r="E131" s="354" t="s">
        <v>389</v>
      </c>
    </row>
    <row r="132" spans="1:5" s="340" customFormat="1" ht="35.1" customHeight="1" x14ac:dyDescent="0.2">
      <c r="A132" s="339" t="s">
        <v>390</v>
      </c>
      <c r="B132" s="189">
        <v>20</v>
      </c>
      <c r="C132" s="374">
        <v>3.8</v>
      </c>
      <c r="D132" s="236">
        <v>76</v>
      </c>
      <c r="E132" s="190" t="s">
        <v>391</v>
      </c>
    </row>
    <row r="133" spans="1:5" s="340" customFormat="1" ht="35.1" customHeight="1" x14ac:dyDescent="0.2">
      <c r="A133" s="339" t="s">
        <v>340</v>
      </c>
      <c r="B133" s="189">
        <v>20</v>
      </c>
      <c r="C133" s="374">
        <v>4.0199999999999996</v>
      </c>
      <c r="D133" s="236">
        <v>80.399999999999991</v>
      </c>
      <c r="E133" s="190" t="s">
        <v>392</v>
      </c>
    </row>
    <row r="134" spans="1:5" s="340" customFormat="1" ht="35.1" customHeight="1" x14ac:dyDescent="0.2">
      <c r="A134" s="339" t="s">
        <v>341</v>
      </c>
      <c r="B134" s="189">
        <v>15</v>
      </c>
      <c r="C134" s="374">
        <v>5.19</v>
      </c>
      <c r="D134" s="236">
        <v>77.850000000000009</v>
      </c>
      <c r="E134" s="190" t="s">
        <v>393</v>
      </c>
    </row>
    <row r="135" spans="1:5" s="340" customFormat="1" ht="35.1" customHeight="1" x14ac:dyDescent="0.2">
      <c r="A135" s="339" t="s">
        <v>949</v>
      </c>
      <c r="B135" s="191" t="s">
        <v>567</v>
      </c>
      <c r="C135" s="374">
        <v>3.67</v>
      </c>
      <c r="D135" s="236">
        <v>58.72</v>
      </c>
      <c r="E135" s="190" t="s">
        <v>394</v>
      </c>
    </row>
    <row r="136" spans="1:5" s="340" customFormat="1" ht="35.1" customHeight="1" x14ac:dyDescent="0.2">
      <c r="A136" s="339" t="s">
        <v>704</v>
      </c>
      <c r="B136" s="189">
        <v>14</v>
      </c>
      <c r="C136" s="374">
        <v>3.83</v>
      </c>
      <c r="D136" s="236">
        <v>53.620000000000005</v>
      </c>
      <c r="E136" s="190" t="s">
        <v>395</v>
      </c>
    </row>
    <row r="137" spans="1:5" s="340" customFormat="1" ht="35.1" customHeight="1" x14ac:dyDescent="0.2">
      <c r="A137" s="339" t="s">
        <v>705</v>
      </c>
      <c r="B137" s="189">
        <v>9</v>
      </c>
      <c r="C137" s="374">
        <v>4.83</v>
      </c>
      <c r="D137" s="236">
        <v>43.47</v>
      </c>
      <c r="E137" s="190" t="s">
        <v>396</v>
      </c>
    </row>
    <row r="138" spans="1:5" ht="35.1" customHeight="1" x14ac:dyDescent="0.2">
      <c r="A138" s="339" t="s">
        <v>706</v>
      </c>
      <c r="B138" s="189">
        <v>16</v>
      </c>
      <c r="C138" s="374">
        <v>3.61</v>
      </c>
      <c r="D138" s="236">
        <v>57.76</v>
      </c>
      <c r="E138" s="190" t="s">
        <v>397</v>
      </c>
    </row>
    <row r="139" spans="1:5" s="340" customFormat="1" ht="35.1" customHeight="1" x14ac:dyDescent="0.2">
      <c r="A139" s="339" t="s">
        <v>707</v>
      </c>
      <c r="B139" s="191" t="s">
        <v>568</v>
      </c>
      <c r="C139" s="374">
        <v>4.43</v>
      </c>
      <c r="D139" s="236">
        <v>57.589999999999996</v>
      </c>
      <c r="E139" s="190" t="s">
        <v>398</v>
      </c>
    </row>
    <row r="140" spans="1:5" s="340" customFormat="1" ht="35.1" customHeight="1" x14ac:dyDescent="0.2">
      <c r="A140" s="339" t="s">
        <v>399</v>
      </c>
      <c r="B140" s="191" t="s">
        <v>499</v>
      </c>
      <c r="C140" s="374">
        <v>4.91</v>
      </c>
      <c r="D140" s="236"/>
      <c r="E140" s="190" t="s">
        <v>453</v>
      </c>
    </row>
    <row r="141" spans="1:5" ht="35.1" customHeight="1" x14ac:dyDescent="0.2">
      <c r="A141" s="339" t="s">
        <v>400</v>
      </c>
      <c r="B141" s="191" t="s">
        <v>567</v>
      </c>
      <c r="C141" s="374">
        <v>3.76</v>
      </c>
      <c r="D141" s="236">
        <v>60.16</v>
      </c>
      <c r="E141" s="190" t="s">
        <v>454</v>
      </c>
    </row>
    <row r="142" spans="1:5" ht="35.1" customHeight="1" x14ac:dyDescent="0.2">
      <c r="A142" s="339" t="s">
        <v>708</v>
      </c>
      <c r="B142" s="191" t="s">
        <v>545</v>
      </c>
      <c r="C142" s="374">
        <v>4.38</v>
      </c>
      <c r="D142" s="236">
        <v>43.8</v>
      </c>
      <c r="E142" s="190" t="s">
        <v>501</v>
      </c>
    </row>
    <row r="143" spans="1:5" ht="35.1" customHeight="1" x14ac:dyDescent="0.2">
      <c r="A143" s="339" t="s">
        <v>401</v>
      </c>
      <c r="B143" s="191">
        <v>8</v>
      </c>
      <c r="C143" s="374">
        <v>4</v>
      </c>
      <c r="D143" s="236">
        <v>32</v>
      </c>
      <c r="E143" s="190" t="s">
        <v>455</v>
      </c>
    </row>
    <row r="144" spans="1:5" ht="35.1" customHeight="1" x14ac:dyDescent="0.2">
      <c r="A144" s="339" t="s">
        <v>342</v>
      </c>
      <c r="B144" s="191">
        <v>35</v>
      </c>
      <c r="C144" s="374">
        <v>3.36</v>
      </c>
      <c r="D144" s="236">
        <v>117.6</v>
      </c>
      <c r="E144" s="190" t="s">
        <v>1070</v>
      </c>
    </row>
    <row r="145" spans="1:5" ht="35.1" customHeight="1" x14ac:dyDescent="0.2">
      <c r="A145" s="339" t="s">
        <v>950</v>
      </c>
      <c r="B145" s="191" t="s">
        <v>951</v>
      </c>
      <c r="C145" s="374">
        <v>5.23</v>
      </c>
      <c r="D145" s="236" t="s">
        <v>952</v>
      </c>
      <c r="E145" s="190" t="s">
        <v>953</v>
      </c>
    </row>
    <row r="146" spans="1:5" ht="35.1" customHeight="1" x14ac:dyDescent="0.2">
      <c r="A146" s="339" t="s">
        <v>343</v>
      </c>
      <c r="B146" s="191" t="s">
        <v>543</v>
      </c>
      <c r="C146" s="374">
        <v>5.23</v>
      </c>
      <c r="D146" s="236">
        <v>104.60000000000001</v>
      </c>
      <c r="E146" s="190" t="s">
        <v>344</v>
      </c>
    </row>
    <row r="147" spans="1:5" s="111" customFormat="1" ht="14.45" customHeight="1" x14ac:dyDescent="0.2">
      <c r="A147" s="617" t="s">
        <v>954</v>
      </c>
      <c r="B147" s="618"/>
      <c r="C147" s="618"/>
      <c r="D147" s="618"/>
      <c r="E147" s="619"/>
    </row>
    <row r="148" spans="1:5" s="380" customFormat="1" ht="35.1" customHeight="1" x14ac:dyDescent="0.2">
      <c r="A148" s="379"/>
      <c r="B148" s="379"/>
      <c r="C148" s="379"/>
      <c r="D148" s="379"/>
      <c r="E148" s="379"/>
    </row>
    <row r="149" spans="1:5" ht="35.1" customHeight="1" x14ac:dyDescent="0.2">
      <c r="A149" s="381" t="s">
        <v>502</v>
      </c>
      <c r="B149" s="371" t="s">
        <v>59</v>
      </c>
      <c r="C149" s="382" t="s">
        <v>955</v>
      </c>
      <c r="D149" s="371" t="s">
        <v>60</v>
      </c>
      <c r="E149" s="371" t="s">
        <v>956</v>
      </c>
    </row>
    <row r="150" spans="1:5" ht="35.1" customHeight="1" x14ac:dyDescent="0.2">
      <c r="A150" s="341" t="s">
        <v>403</v>
      </c>
      <c r="B150" s="383">
        <v>12</v>
      </c>
      <c r="C150" s="374">
        <v>5.62</v>
      </c>
      <c r="D150" s="236">
        <f>B150*C150</f>
        <v>67.44</v>
      </c>
      <c r="E150" s="384" t="s">
        <v>957</v>
      </c>
    </row>
    <row r="151" spans="1:5" ht="35.1" customHeight="1" x14ac:dyDescent="0.2">
      <c r="A151" s="341" t="s">
        <v>404</v>
      </c>
      <c r="B151" s="383" t="s">
        <v>47</v>
      </c>
      <c r="C151" s="374">
        <v>4.5199999999999996</v>
      </c>
      <c r="D151" s="236">
        <f t="shared" ref="D151:D181" si="1">B151*C151</f>
        <v>112.99999999999999</v>
      </c>
      <c r="E151" s="384" t="s">
        <v>958</v>
      </c>
    </row>
    <row r="152" spans="1:5" ht="35.1" customHeight="1" x14ac:dyDescent="0.2">
      <c r="A152" s="341" t="s">
        <v>456</v>
      </c>
      <c r="B152" s="383" t="s">
        <v>543</v>
      </c>
      <c r="C152" s="374">
        <v>4.72</v>
      </c>
      <c r="D152" s="236">
        <f t="shared" si="1"/>
        <v>94.399999999999991</v>
      </c>
      <c r="E152" s="384" t="s">
        <v>959</v>
      </c>
    </row>
    <row r="153" spans="1:5" ht="35.1" customHeight="1" x14ac:dyDescent="0.2">
      <c r="A153" s="341" t="s">
        <v>405</v>
      </c>
      <c r="B153" s="383">
        <v>25</v>
      </c>
      <c r="C153" s="374">
        <v>3.83</v>
      </c>
      <c r="D153" s="236">
        <f t="shared" si="1"/>
        <v>95.75</v>
      </c>
      <c r="E153" s="384" t="s">
        <v>960</v>
      </c>
    </row>
    <row r="154" spans="1:5" ht="35.1" customHeight="1" x14ac:dyDescent="0.2">
      <c r="A154" s="341" t="s">
        <v>503</v>
      </c>
      <c r="B154" s="383">
        <v>25</v>
      </c>
      <c r="C154" s="374">
        <v>4.1900000000000004</v>
      </c>
      <c r="D154" s="236">
        <f t="shared" si="1"/>
        <v>104.75000000000001</v>
      </c>
      <c r="E154" s="384" t="s">
        <v>961</v>
      </c>
    </row>
    <row r="155" spans="1:5" ht="35.1" customHeight="1" x14ac:dyDescent="0.2">
      <c r="A155" s="341" t="s">
        <v>44</v>
      </c>
      <c r="B155" s="383">
        <v>25</v>
      </c>
      <c r="C155" s="374">
        <v>3.38</v>
      </c>
      <c r="D155" s="236">
        <f t="shared" si="1"/>
        <v>84.5</v>
      </c>
      <c r="E155" s="384" t="s">
        <v>962</v>
      </c>
    </row>
    <row r="156" spans="1:5" ht="35.1" customHeight="1" x14ac:dyDescent="0.2">
      <c r="A156" s="341" t="s">
        <v>45</v>
      </c>
      <c r="B156" s="383" t="s">
        <v>543</v>
      </c>
      <c r="C156" s="374">
        <v>2.88</v>
      </c>
      <c r="D156" s="236">
        <f t="shared" si="1"/>
        <v>57.599999999999994</v>
      </c>
      <c r="E156" s="384" t="s">
        <v>963</v>
      </c>
    </row>
    <row r="157" spans="1:5" ht="35.1" customHeight="1" x14ac:dyDescent="0.2">
      <c r="A157" s="341" t="s">
        <v>406</v>
      </c>
      <c r="B157" s="383">
        <v>20</v>
      </c>
      <c r="C157" s="374">
        <v>4.68</v>
      </c>
      <c r="D157" s="236">
        <f t="shared" si="1"/>
        <v>93.6</v>
      </c>
      <c r="E157" s="384" t="s">
        <v>964</v>
      </c>
    </row>
    <row r="158" spans="1:5" ht="35.1" customHeight="1" x14ac:dyDescent="0.2">
      <c r="A158" s="341" t="s">
        <v>407</v>
      </c>
      <c r="B158" s="383">
        <v>20</v>
      </c>
      <c r="C158" s="374">
        <v>6.22</v>
      </c>
      <c r="D158" s="236">
        <f t="shared" si="1"/>
        <v>124.39999999999999</v>
      </c>
      <c r="E158" s="384" t="s">
        <v>964</v>
      </c>
    </row>
    <row r="159" spans="1:5" ht="35.1" customHeight="1" x14ac:dyDescent="0.2">
      <c r="A159" s="381" t="s">
        <v>502</v>
      </c>
      <c r="B159" s="371" t="s">
        <v>59</v>
      </c>
      <c r="C159" s="382" t="s">
        <v>955</v>
      </c>
      <c r="D159" s="371" t="s">
        <v>60</v>
      </c>
      <c r="E159" s="371" t="s">
        <v>956</v>
      </c>
    </row>
    <row r="160" spans="1:5" ht="33.6" customHeight="1" x14ac:dyDescent="0.2">
      <c r="A160" s="341" t="s">
        <v>504</v>
      </c>
      <c r="B160" s="383">
        <v>23</v>
      </c>
      <c r="C160" s="374">
        <v>3.83</v>
      </c>
      <c r="D160" s="236">
        <f t="shared" si="1"/>
        <v>88.09</v>
      </c>
      <c r="E160" s="384" t="s">
        <v>965</v>
      </c>
    </row>
    <row r="161" spans="1:5" ht="42.75" x14ac:dyDescent="0.2">
      <c r="A161" s="341" t="s">
        <v>79</v>
      </c>
      <c r="B161" s="383">
        <v>30</v>
      </c>
      <c r="C161" s="374">
        <v>7.02</v>
      </c>
      <c r="D161" s="236">
        <f>C161*B161</f>
        <v>210.6</v>
      </c>
      <c r="E161" s="385" t="s">
        <v>966</v>
      </c>
    </row>
    <row r="162" spans="1:5" ht="33.6" customHeight="1" x14ac:dyDescent="0.2">
      <c r="A162" s="341" t="s">
        <v>80</v>
      </c>
      <c r="B162" s="383">
        <v>30</v>
      </c>
      <c r="C162" s="374">
        <v>5.38</v>
      </c>
      <c r="D162" s="236">
        <f t="shared" si="1"/>
        <v>161.4</v>
      </c>
      <c r="E162" s="384" t="s">
        <v>967</v>
      </c>
    </row>
    <row r="163" spans="1:5" ht="33.6" customHeight="1" x14ac:dyDescent="0.2">
      <c r="A163" s="341" t="s">
        <v>505</v>
      </c>
      <c r="B163" s="383">
        <v>30</v>
      </c>
      <c r="C163" s="374">
        <v>7.76</v>
      </c>
      <c r="D163" s="236">
        <f t="shared" si="1"/>
        <v>232.79999999999998</v>
      </c>
      <c r="E163" s="384" t="s">
        <v>968</v>
      </c>
    </row>
    <row r="164" spans="1:5" ht="33.6" customHeight="1" x14ac:dyDescent="0.2">
      <c r="A164" s="341" t="s">
        <v>506</v>
      </c>
      <c r="B164" s="383">
        <v>100</v>
      </c>
      <c r="C164" s="374">
        <v>2.36</v>
      </c>
      <c r="D164" s="236">
        <f>100*C164</f>
        <v>236</v>
      </c>
      <c r="E164" s="385" t="s">
        <v>969</v>
      </c>
    </row>
    <row r="165" spans="1:5" ht="33.6" customHeight="1" x14ac:dyDescent="0.2">
      <c r="A165" s="341" t="s">
        <v>408</v>
      </c>
      <c r="B165" s="383">
        <v>100</v>
      </c>
      <c r="C165" s="374">
        <v>3.08</v>
      </c>
      <c r="D165" s="236">
        <f>100*C165</f>
        <v>308</v>
      </c>
      <c r="E165" s="385" t="s">
        <v>970</v>
      </c>
    </row>
    <row r="166" spans="1:5" ht="33.6" customHeight="1" x14ac:dyDescent="0.2">
      <c r="A166" s="341" t="s">
        <v>81</v>
      </c>
      <c r="B166" s="383">
        <v>20</v>
      </c>
      <c r="C166" s="374">
        <v>10.58</v>
      </c>
      <c r="D166" s="236">
        <f t="shared" si="1"/>
        <v>211.6</v>
      </c>
      <c r="E166" s="384" t="s">
        <v>971</v>
      </c>
    </row>
    <row r="167" spans="1:5" ht="33.6" customHeight="1" x14ac:dyDescent="0.2">
      <c r="A167" s="341" t="s">
        <v>82</v>
      </c>
      <c r="B167" s="383">
        <v>20</v>
      </c>
      <c r="C167" s="374">
        <v>8.5299999999999994</v>
      </c>
      <c r="D167" s="236">
        <f t="shared" si="1"/>
        <v>170.6</v>
      </c>
      <c r="E167" s="384" t="s">
        <v>972</v>
      </c>
    </row>
    <row r="168" spans="1:5" ht="42.75" x14ac:dyDescent="0.2">
      <c r="A168" s="341" t="s">
        <v>83</v>
      </c>
      <c r="B168" s="383">
        <v>30</v>
      </c>
      <c r="C168" s="374">
        <v>8.7799999999999994</v>
      </c>
      <c r="D168" s="236">
        <f t="shared" si="1"/>
        <v>263.39999999999998</v>
      </c>
      <c r="E168" s="385" t="s">
        <v>973</v>
      </c>
    </row>
    <row r="169" spans="1:5" ht="48" customHeight="1" x14ac:dyDescent="0.2">
      <c r="A169" s="341" t="s">
        <v>345</v>
      </c>
      <c r="B169" s="383">
        <v>20</v>
      </c>
      <c r="C169" s="374">
        <v>6.11</v>
      </c>
      <c r="D169" s="236">
        <f t="shared" si="1"/>
        <v>122.2</v>
      </c>
      <c r="E169" s="385" t="s">
        <v>974</v>
      </c>
    </row>
    <row r="170" spans="1:5" ht="33.6" customHeight="1" x14ac:dyDescent="0.2">
      <c r="A170" s="341" t="s">
        <v>84</v>
      </c>
      <c r="B170" s="383">
        <v>10</v>
      </c>
      <c r="C170" s="374">
        <v>9.33</v>
      </c>
      <c r="D170" s="236">
        <f t="shared" si="1"/>
        <v>93.3</v>
      </c>
      <c r="E170" s="384" t="s">
        <v>975</v>
      </c>
    </row>
    <row r="171" spans="1:5" ht="33.6" customHeight="1" x14ac:dyDescent="0.2">
      <c r="A171" s="341" t="s">
        <v>85</v>
      </c>
      <c r="B171" s="383">
        <v>10</v>
      </c>
      <c r="C171" s="374">
        <v>4.0999999999999996</v>
      </c>
      <c r="D171" s="236">
        <f t="shared" si="1"/>
        <v>41</v>
      </c>
      <c r="E171" s="384" t="s">
        <v>976</v>
      </c>
    </row>
    <row r="172" spans="1:5" ht="33.6" customHeight="1" x14ac:dyDescent="0.2">
      <c r="A172" s="341" t="s">
        <v>410</v>
      </c>
      <c r="B172" s="383">
        <v>110</v>
      </c>
      <c r="C172" s="374">
        <v>2.4</v>
      </c>
      <c r="D172" s="236">
        <f t="shared" si="1"/>
        <v>264</v>
      </c>
      <c r="E172" s="385" t="s">
        <v>977</v>
      </c>
    </row>
    <row r="173" spans="1:5" ht="33.6" customHeight="1" x14ac:dyDescent="0.2">
      <c r="A173" s="341" t="s">
        <v>411</v>
      </c>
      <c r="B173" s="383">
        <v>110</v>
      </c>
      <c r="C173" s="374">
        <v>3.06</v>
      </c>
      <c r="D173" s="236">
        <f t="shared" si="1"/>
        <v>336.6</v>
      </c>
      <c r="E173" s="385" t="s">
        <v>978</v>
      </c>
    </row>
    <row r="174" spans="1:5" ht="33.6" customHeight="1" x14ac:dyDescent="0.2">
      <c r="A174" s="341" t="s">
        <v>50</v>
      </c>
      <c r="B174" s="383">
        <v>25</v>
      </c>
      <c r="C174" s="374">
        <v>5.88</v>
      </c>
      <c r="D174" s="236">
        <f t="shared" si="1"/>
        <v>147</v>
      </c>
      <c r="E174" s="384" t="s">
        <v>979</v>
      </c>
    </row>
    <row r="175" spans="1:5" ht="33.6" customHeight="1" x14ac:dyDescent="0.2">
      <c r="A175" s="341" t="s">
        <v>56</v>
      </c>
      <c r="B175" s="383">
        <v>60</v>
      </c>
      <c r="C175" s="374">
        <v>3.96</v>
      </c>
      <c r="D175" s="236">
        <f>C175*B175</f>
        <v>237.6</v>
      </c>
      <c r="E175" s="622" t="s">
        <v>980</v>
      </c>
    </row>
    <row r="176" spans="1:5" ht="33.6" customHeight="1" x14ac:dyDescent="0.2">
      <c r="A176" s="341" t="s">
        <v>412</v>
      </c>
      <c r="B176" s="383">
        <v>60</v>
      </c>
      <c r="C176" s="374">
        <v>4.59</v>
      </c>
      <c r="D176" s="236">
        <f>C176*B176</f>
        <v>275.39999999999998</v>
      </c>
      <c r="E176" s="623"/>
    </row>
    <row r="177" spans="1:5" s="380" customFormat="1" ht="30" customHeight="1" x14ac:dyDescent="0.2">
      <c r="A177" s="386" t="s">
        <v>981</v>
      </c>
      <c r="B177" s="387" t="s">
        <v>59</v>
      </c>
      <c r="C177" s="388" t="s">
        <v>402</v>
      </c>
      <c r="D177" s="387" t="s">
        <v>60</v>
      </c>
      <c r="E177" s="387" t="s">
        <v>956</v>
      </c>
    </row>
    <row r="178" spans="1:5" ht="33.6" customHeight="1" x14ac:dyDescent="0.2">
      <c r="A178" s="341" t="s">
        <v>507</v>
      </c>
      <c r="B178" s="383" t="s">
        <v>982</v>
      </c>
      <c r="C178" s="374">
        <v>12.26</v>
      </c>
      <c r="D178" s="389">
        <f>C178*B178</f>
        <v>85.82</v>
      </c>
      <c r="E178" s="384" t="s">
        <v>983</v>
      </c>
    </row>
    <row r="179" spans="1:5" ht="33.6" customHeight="1" x14ac:dyDescent="0.2">
      <c r="A179" s="341" t="s">
        <v>508</v>
      </c>
      <c r="B179" s="383" t="s">
        <v>982</v>
      </c>
      <c r="C179" s="374">
        <v>77.83</v>
      </c>
      <c r="D179" s="389">
        <f>C179*B179</f>
        <v>544.80999999999995</v>
      </c>
      <c r="E179" s="384" t="s">
        <v>984</v>
      </c>
    </row>
    <row r="180" spans="1:5" ht="33.6" customHeight="1" x14ac:dyDescent="0.2">
      <c r="A180" s="341" t="s">
        <v>86</v>
      </c>
      <c r="B180" s="383" t="s">
        <v>181</v>
      </c>
      <c r="C180" s="374">
        <v>8.76</v>
      </c>
      <c r="D180" s="389">
        <f t="shared" si="1"/>
        <v>350.4</v>
      </c>
      <c r="E180" s="384" t="s">
        <v>985</v>
      </c>
    </row>
    <row r="181" spans="1:5" ht="33.6" customHeight="1" x14ac:dyDescent="0.2">
      <c r="A181" s="341" t="s">
        <v>87</v>
      </c>
      <c r="B181" s="383" t="s">
        <v>181</v>
      </c>
      <c r="C181" s="374">
        <v>8.7200000000000006</v>
      </c>
      <c r="D181" s="389">
        <f t="shared" si="1"/>
        <v>348.8</v>
      </c>
      <c r="E181" s="384" t="s">
        <v>986</v>
      </c>
    </row>
    <row r="182" spans="1:5" ht="33.6" customHeight="1" x14ac:dyDescent="0.2">
      <c r="A182" s="341" t="s">
        <v>346</v>
      </c>
      <c r="B182" s="383" t="s">
        <v>543</v>
      </c>
      <c r="C182" s="374">
        <v>72</v>
      </c>
      <c r="D182" s="389">
        <f>B182*C182</f>
        <v>1440</v>
      </c>
      <c r="E182" s="385" t="s">
        <v>987</v>
      </c>
    </row>
    <row r="183" spans="1:5" ht="33.6" customHeight="1" x14ac:dyDescent="0.2">
      <c r="A183" s="341" t="s">
        <v>347</v>
      </c>
      <c r="B183" s="383" t="s">
        <v>543</v>
      </c>
      <c r="C183" s="374">
        <v>69.989999999999995</v>
      </c>
      <c r="D183" s="389">
        <f>B183*C183</f>
        <v>1399.8</v>
      </c>
      <c r="E183" s="385" t="s">
        <v>987</v>
      </c>
    </row>
    <row r="184" spans="1:5" ht="30" customHeight="1" x14ac:dyDescent="0.2">
      <c r="A184" s="390" t="s">
        <v>457</v>
      </c>
      <c r="B184" s="391" t="s">
        <v>419</v>
      </c>
      <c r="C184" s="624" t="s">
        <v>420</v>
      </c>
      <c r="D184" s="625"/>
      <c r="E184" s="392" t="s">
        <v>421</v>
      </c>
    </row>
    <row r="185" spans="1:5" ht="33.6" customHeight="1" x14ac:dyDescent="0.2">
      <c r="A185" s="341" t="s">
        <v>988</v>
      </c>
      <c r="B185" s="393" t="s">
        <v>422</v>
      </c>
      <c r="C185" s="626">
        <v>24.68</v>
      </c>
      <c r="D185" s="627"/>
      <c r="E185" s="385" t="s">
        <v>989</v>
      </c>
    </row>
    <row r="186" spans="1:5" s="111" customFormat="1" ht="14.45" customHeight="1" x14ac:dyDescent="0.2">
      <c r="A186" s="617" t="s">
        <v>990</v>
      </c>
      <c r="B186" s="618"/>
      <c r="C186" s="618"/>
      <c r="D186" s="618"/>
      <c r="E186" s="619"/>
    </row>
    <row r="187" spans="1:5" s="111" customFormat="1" ht="14.45" customHeight="1" x14ac:dyDescent="0.2">
      <c r="A187" s="629" t="s">
        <v>991</v>
      </c>
      <c r="B187" s="630"/>
      <c r="C187" s="630"/>
      <c r="D187" s="630"/>
      <c r="E187" s="631"/>
    </row>
    <row r="188" spans="1:5" s="395" customFormat="1" ht="129.75" customHeight="1" x14ac:dyDescent="0.2">
      <c r="A188" s="394"/>
      <c r="B188" s="394"/>
      <c r="C188" s="394"/>
      <c r="D188" s="394"/>
      <c r="E188" s="394"/>
    </row>
    <row r="189" spans="1:5" ht="35.1" customHeight="1" x14ac:dyDescent="0.2">
      <c r="A189" s="396" t="s">
        <v>992</v>
      </c>
      <c r="B189" s="38" t="s">
        <v>59</v>
      </c>
      <c r="C189" s="207" t="s">
        <v>336</v>
      </c>
      <c r="D189" s="207" t="s">
        <v>60</v>
      </c>
      <c r="E189" s="397" t="s">
        <v>389</v>
      </c>
    </row>
    <row r="190" spans="1:5" ht="33.6" customHeight="1" x14ac:dyDescent="0.2">
      <c r="A190" s="342" t="s">
        <v>349</v>
      </c>
      <c r="B190" s="249">
        <v>30</v>
      </c>
      <c r="C190" s="374">
        <v>3.9926666666666661</v>
      </c>
      <c r="D190" s="37">
        <v>119.77999999999999</v>
      </c>
      <c r="E190" s="398" t="s">
        <v>993</v>
      </c>
    </row>
    <row r="191" spans="1:5" ht="33.6" customHeight="1" x14ac:dyDescent="0.2">
      <c r="A191" s="342" t="s">
        <v>418</v>
      </c>
      <c r="B191" s="249">
        <v>20</v>
      </c>
      <c r="C191" s="374">
        <v>4.5210000000000008</v>
      </c>
      <c r="D191" s="37">
        <v>90.420000000000016</v>
      </c>
      <c r="E191" s="398" t="s">
        <v>994</v>
      </c>
    </row>
    <row r="192" spans="1:5" ht="33.6" customHeight="1" x14ac:dyDescent="0.2">
      <c r="A192" s="342" t="s">
        <v>54</v>
      </c>
      <c r="B192" s="249">
        <v>100</v>
      </c>
      <c r="C192" s="374">
        <v>2.2528000000000001</v>
      </c>
      <c r="D192" s="37">
        <v>225.28</v>
      </c>
      <c r="E192" s="398" t="s">
        <v>995</v>
      </c>
    </row>
    <row r="193" spans="1:5" ht="33.6" customHeight="1" x14ac:dyDescent="0.2">
      <c r="A193" s="342" t="s">
        <v>351</v>
      </c>
      <c r="B193" s="249">
        <v>60</v>
      </c>
      <c r="C193" s="374">
        <v>2.6950000000000003</v>
      </c>
      <c r="D193" s="37">
        <v>161.70000000000002</v>
      </c>
      <c r="E193" s="398" t="s">
        <v>996</v>
      </c>
    </row>
    <row r="194" spans="1:5" ht="33.6" customHeight="1" x14ac:dyDescent="0.2">
      <c r="A194" s="342" t="s">
        <v>55</v>
      </c>
      <c r="B194" s="249" t="s">
        <v>416</v>
      </c>
      <c r="C194" s="374">
        <v>2.64</v>
      </c>
      <c r="D194" s="37" t="s">
        <v>997</v>
      </c>
      <c r="E194" s="398" t="s">
        <v>998</v>
      </c>
    </row>
    <row r="195" spans="1:5" ht="33.6" customHeight="1" x14ac:dyDescent="0.2">
      <c r="A195" s="342" t="s">
        <v>712</v>
      </c>
      <c r="B195" s="249">
        <v>15</v>
      </c>
      <c r="C195" s="374">
        <v>5.2582666666666666</v>
      </c>
      <c r="D195" s="37">
        <v>78.873999999999995</v>
      </c>
      <c r="E195" s="398" t="s">
        <v>999</v>
      </c>
    </row>
    <row r="196" spans="1:5" ht="33.6" customHeight="1" x14ac:dyDescent="0.2">
      <c r="A196" s="342" t="s">
        <v>713</v>
      </c>
      <c r="B196" s="249">
        <v>12</v>
      </c>
      <c r="C196" s="374">
        <v>5.1697499999999996</v>
      </c>
      <c r="D196" s="37">
        <v>62.036999999999992</v>
      </c>
      <c r="E196" s="398" t="s">
        <v>1000</v>
      </c>
    </row>
    <row r="197" spans="1:5" ht="33.6" customHeight="1" x14ac:dyDescent="0.2">
      <c r="A197" s="342" t="s">
        <v>714</v>
      </c>
      <c r="B197" s="249" t="s">
        <v>76</v>
      </c>
      <c r="C197" s="374">
        <v>3.6850000000000001</v>
      </c>
      <c r="D197" s="37" t="s">
        <v>1001</v>
      </c>
      <c r="E197" s="398" t="s">
        <v>1002</v>
      </c>
    </row>
    <row r="198" spans="1:5" ht="33.6" customHeight="1" x14ac:dyDescent="0.2">
      <c r="A198" s="342" t="s">
        <v>509</v>
      </c>
      <c r="B198" s="249">
        <v>20</v>
      </c>
      <c r="C198" s="374">
        <v>4.5199999999999996</v>
      </c>
      <c r="D198" s="37">
        <v>90.399999999999991</v>
      </c>
      <c r="E198" s="398" t="s">
        <v>1003</v>
      </c>
    </row>
    <row r="199" spans="1:5" ht="33.6" customHeight="1" x14ac:dyDescent="0.2">
      <c r="A199" s="342" t="s">
        <v>546</v>
      </c>
      <c r="B199" s="249">
        <v>10</v>
      </c>
      <c r="C199" s="374">
        <v>7.7550000000000008</v>
      </c>
      <c r="D199" s="37">
        <v>77.550000000000011</v>
      </c>
      <c r="E199" s="398" t="s">
        <v>1004</v>
      </c>
    </row>
    <row r="200" spans="1:5" ht="33.6" customHeight="1" x14ac:dyDescent="0.2">
      <c r="A200" s="342" t="s">
        <v>547</v>
      </c>
      <c r="B200" s="249">
        <v>15</v>
      </c>
      <c r="C200" s="374">
        <v>3.6850000000000001</v>
      </c>
      <c r="D200" s="37">
        <v>55.274999999999999</v>
      </c>
      <c r="E200" s="398" t="s">
        <v>1005</v>
      </c>
    </row>
    <row r="201" spans="1:5" ht="33.6" customHeight="1" x14ac:dyDescent="0.2">
      <c r="A201" s="342" t="s">
        <v>49</v>
      </c>
      <c r="B201" s="249">
        <v>70</v>
      </c>
      <c r="C201" s="374">
        <v>4.1360000000000001</v>
      </c>
      <c r="D201" s="37">
        <v>289.52</v>
      </c>
      <c r="E201" s="398" t="s">
        <v>1006</v>
      </c>
    </row>
    <row r="202" spans="1:5" ht="33.6" customHeight="1" x14ac:dyDescent="0.2">
      <c r="A202" s="342" t="s">
        <v>716</v>
      </c>
      <c r="B202" s="249" t="s">
        <v>78</v>
      </c>
      <c r="C202" s="374">
        <v>4.4069999999999991</v>
      </c>
      <c r="D202" s="37" t="s">
        <v>1007</v>
      </c>
      <c r="E202" s="398" t="s">
        <v>1008</v>
      </c>
    </row>
    <row r="203" spans="1:5" ht="33.6" customHeight="1" x14ac:dyDescent="0.2">
      <c r="A203" s="342" t="s">
        <v>717</v>
      </c>
      <c r="B203" s="249" t="s">
        <v>88</v>
      </c>
      <c r="C203" s="374">
        <v>3.6159999999999997</v>
      </c>
      <c r="D203" s="37" t="s">
        <v>1009</v>
      </c>
      <c r="E203" s="398" t="s">
        <v>1010</v>
      </c>
    </row>
    <row r="204" spans="1:5" ht="33.6" customHeight="1" x14ac:dyDescent="0.2">
      <c r="A204" s="342" t="s">
        <v>414</v>
      </c>
      <c r="B204" s="249" t="s">
        <v>415</v>
      </c>
      <c r="C204" s="374">
        <v>6.7122000000000002</v>
      </c>
      <c r="D204" s="37" t="s">
        <v>1011</v>
      </c>
      <c r="E204" s="398" t="s">
        <v>1012</v>
      </c>
    </row>
    <row r="205" spans="1:5" ht="33.6" customHeight="1" x14ac:dyDescent="0.2">
      <c r="A205" s="342" t="s">
        <v>53</v>
      </c>
      <c r="B205" s="249">
        <v>60</v>
      </c>
      <c r="C205" s="374">
        <v>5.1700000000000008</v>
      </c>
      <c r="D205" s="37">
        <v>310.20000000000005</v>
      </c>
      <c r="E205" s="398" t="s">
        <v>1013</v>
      </c>
    </row>
    <row r="206" spans="1:5" ht="33.6" customHeight="1" x14ac:dyDescent="0.2">
      <c r="A206" s="342" t="s">
        <v>348</v>
      </c>
      <c r="B206" s="249" t="s">
        <v>413</v>
      </c>
      <c r="C206" s="374">
        <v>5.988999999999999</v>
      </c>
      <c r="D206" s="37" t="s">
        <v>1014</v>
      </c>
      <c r="E206" s="398" t="s">
        <v>1015</v>
      </c>
    </row>
    <row r="207" spans="1:5" ht="33.6" customHeight="1" x14ac:dyDescent="0.2">
      <c r="A207" s="342" t="s">
        <v>1016</v>
      </c>
      <c r="B207" s="249">
        <v>45</v>
      </c>
      <c r="C207" s="374">
        <v>5.2657999999999996</v>
      </c>
      <c r="D207" s="37">
        <v>236.96099999999998</v>
      </c>
      <c r="E207" s="398" t="s">
        <v>1017</v>
      </c>
    </row>
    <row r="208" spans="1:5" ht="33.6" customHeight="1" x14ac:dyDescent="0.2">
      <c r="A208" s="342" t="s">
        <v>46</v>
      </c>
      <c r="B208" s="249" t="s">
        <v>72</v>
      </c>
      <c r="C208" s="374">
        <v>8.4071999999999996</v>
      </c>
      <c r="D208" s="37" t="s">
        <v>1018</v>
      </c>
      <c r="E208" s="398" t="s">
        <v>1019</v>
      </c>
    </row>
    <row r="209" spans="1:5" ht="33.6" customHeight="1" x14ac:dyDescent="0.2">
      <c r="A209" s="342" t="s">
        <v>417</v>
      </c>
      <c r="B209" s="249">
        <v>20</v>
      </c>
      <c r="C209" s="374">
        <v>65.313999999999993</v>
      </c>
      <c r="D209" s="37">
        <v>1306.2799999999997</v>
      </c>
      <c r="E209" s="398" t="s">
        <v>1020</v>
      </c>
    </row>
    <row r="210" spans="1:5" ht="14.45" customHeight="1" x14ac:dyDescent="0.2">
      <c r="A210" s="617" t="s">
        <v>1021</v>
      </c>
      <c r="B210" s="618"/>
      <c r="C210" s="618"/>
      <c r="D210" s="618"/>
      <c r="E210" s="619"/>
    </row>
    <row r="211" spans="1:5" ht="129.75" customHeight="1" x14ac:dyDescent="0.2">
      <c r="A211" s="399"/>
      <c r="B211" s="400"/>
      <c r="C211" s="401"/>
      <c r="D211" s="28"/>
      <c r="E211" s="402"/>
    </row>
    <row r="212" spans="1:5" s="114" customFormat="1" ht="35.1" customHeight="1" x14ac:dyDescent="0.25">
      <c r="A212" s="632" t="s">
        <v>1022</v>
      </c>
      <c r="B212" s="633"/>
      <c r="C212" s="633"/>
      <c r="D212" s="633"/>
      <c r="E212" s="634"/>
    </row>
    <row r="213" spans="1:5" ht="35.1" customHeight="1" x14ac:dyDescent="0.2">
      <c r="A213" s="343" t="s">
        <v>1023</v>
      </c>
      <c r="B213" s="249" t="s">
        <v>413</v>
      </c>
      <c r="C213" s="374">
        <v>7.6613999999999987</v>
      </c>
      <c r="D213" s="37" t="s">
        <v>513</v>
      </c>
      <c r="E213" s="403" t="s">
        <v>1024</v>
      </c>
    </row>
    <row r="214" spans="1:5" ht="28.5" x14ac:dyDescent="0.2">
      <c r="A214" s="343" t="s">
        <v>349</v>
      </c>
      <c r="B214" s="249">
        <v>30</v>
      </c>
      <c r="C214" s="374">
        <v>4.5576666666666661</v>
      </c>
      <c r="D214" s="37">
        <v>136.72999999999999</v>
      </c>
      <c r="E214" s="403" t="s">
        <v>1025</v>
      </c>
    </row>
    <row r="215" spans="1:5" ht="28.5" x14ac:dyDescent="0.2">
      <c r="A215" s="343" t="s">
        <v>418</v>
      </c>
      <c r="B215" s="249">
        <v>20</v>
      </c>
      <c r="C215" s="374">
        <v>5.2525000000000004</v>
      </c>
      <c r="D215" s="37">
        <v>105.05000000000001</v>
      </c>
      <c r="E215" s="403" t="s">
        <v>1026</v>
      </c>
    </row>
    <row r="216" spans="1:5" ht="35.1" customHeight="1" x14ac:dyDescent="0.2">
      <c r="A216" s="343" t="s">
        <v>716</v>
      </c>
      <c r="B216" s="249" t="s">
        <v>78</v>
      </c>
      <c r="C216" s="374">
        <v>5.54</v>
      </c>
      <c r="D216" s="37" t="s">
        <v>1027</v>
      </c>
      <c r="E216" s="403" t="s">
        <v>1028</v>
      </c>
    </row>
    <row r="217" spans="1:5" ht="42.75" x14ac:dyDescent="0.2">
      <c r="A217" s="343" t="s">
        <v>351</v>
      </c>
      <c r="B217" s="249">
        <v>60</v>
      </c>
      <c r="C217" s="374">
        <v>3.0173000000000001</v>
      </c>
      <c r="D217" s="37">
        <v>181.03800000000001</v>
      </c>
      <c r="E217" s="403" t="s">
        <v>1029</v>
      </c>
    </row>
    <row r="218" spans="1:5" ht="28.5" x14ac:dyDescent="0.2">
      <c r="A218" s="343" t="s">
        <v>350</v>
      </c>
      <c r="B218" s="249">
        <v>20</v>
      </c>
      <c r="C218" s="374">
        <v>4.1195000000000004</v>
      </c>
      <c r="D218" s="37">
        <v>82.390000000000015</v>
      </c>
      <c r="E218" s="403" t="s">
        <v>1030</v>
      </c>
    </row>
    <row r="219" spans="1:5" ht="28.5" x14ac:dyDescent="0.2">
      <c r="A219" s="343" t="s">
        <v>352</v>
      </c>
      <c r="B219" s="249">
        <v>100</v>
      </c>
      <c r="C219" s="374">
        <v>1.7710000000000001</v>
      </c>
      <c r="D219" s="37">
        <v>177.10000000000002</v>
      </c>
      <c r="E219" s="403" t="s">
        <v>1031</v>
      </c>
    </row>
    <row r="220" spans="1:5" ht="35.1" customHeight="1" x14ac:dyDescent="0.2">
      <c r="A220" s="390" t="s">
        <v>457</v>
      </c>
      <c r="B220" s="391" t="s">
        <v>419</v>
      </c>
      <c r="C220" s="624" t="s">
        <v>420</v>
      </c>
      <c r="D220" s="625"/>
      <c r="E220" s="392" t="s">
        <v>421</v>
      </c>
    </row>
    <row r="221" spans="1:5" ht="33.6" customHeight="1" x14ac:dyDescent="0.2">
      <c r="A221" s="343" t="s">
        <v>1032</v>
      </c>
      <c r="B221" s="393" t="s">
        <v>422</v>
      </c>
      <c r="C221" s="626">
        <f>23*1.2</f>
        <v>27.599999999999998</v>
      </c>
      <c r="D221" s="627"/>
      <c r="E221" s="385" t="s">
        <v>1033</v>
      </c>
    </row>
    <row r="222" spans="1:5" s="111" customFormat="1" ht="14.45" customHeight="1" x14ac:dyDescent="0.2">
      <c r="A222" s="617" t="s">
        <v>1021</v>
      </c>
      <c r="B222" s="618"/>
      <c r="C222" s="618"/>
      <c r="D222" s="618"/>
      <c r="E222" s="619"/>
    </row>
    <row r="223" spans="1:5" ht="35.1" customHeight="1" x14ac:dyDescent="0.2"/>
    <row r="224" spans="1:5" ht="35.1" customHeight="1" x14ac:dyDescent="0.2">
      <c r="A224" s="354" t="s">
        <v>365</v>
      </c>
      <c r="B224" s="371" t="s">
        <v>59</v>
      </c>
      <c r="C224" s="372" t="s">
        <v>336</v>
      </c>
      <c r="D224" s="373" t="s">
        <v>60</v>
      </c>
      <c r="E224" s="371" t="s">
        <v>458</v>
      </c>
    </row>
    <row r="225" spans="1:5" ht="87" x14ac:dyDescent="0.2">
      <c r="A225" s="339" t="s">
        <v>423</v>
      </c>
      <c r="B225" s="404">
        <v>20</v>
      </c>
      <c r="C225" s="374">
        <v>44</v>
      </c>
      <c r="D225" s="389">
        <v>880</v>
      </c>
      <c r="E225" s="405" t="s">
        <v>1034</v>
      </c>
    </row>
    <row r="226" spans="1:5" ht="129.75" x14ac:dyDescent="0.2">
      <c r="A226" s="339" t="s">
        <v>424</v>
      </c>
      <c r="B226" s="404">
        <v>20</v>
      </c>
      <c r="C226" s="374">
        <v>60</v>
      </c>
      <c r="D226" s="389">
        <v>1200</v>
      </c>
      <c r="E226" s="405" t="s">
        <v>1035</v>
      </c>
    </row>
    <row r="227" spans="1:5" ht="129.75" x14ac:dyDescent="0.2">
      <c r="A227" s="339" t="s">
        <v>425</v>
      </c>
      <c r="B227" s="404">
        <v>20</v>
      </c>
      <c r="C227" s="374">
        <v>70</v>
      </c>
      <c r="D227" s="389">
        <v>1400</v>
      </c>
      <c r="E227" s="405" t="s">
        <v>1036</v>
      </c>
    </row>
    <row r="228" spans="1:5" s="380" customFormat="1" ht="14.45" customHeight="1" x14ac:dyDescent="0.2">
      <c r="A228" s="617" t="s">
        <v>426</v>
      </c>
      <c r="B228" s="618"/>
      <c r="C228" s="618"/>
      <c r="D228" s="618"/>
      <c r="E228" s="619"/>
    </row>
    <row r="229" spans="1:5" s="380" customFormat="1" ht="14.45" customHeight="1" x14ac:dyDescent="0.2">
      <c r="A229" s="617" t="s">
        <v>1037</v>
      </c>
      <c r="B229" s="618"/>
      <c r="C229" s="618"/>
      <c r="D229" s="618"/>
      <c r="E229" s="619"/>
    </row>
    <row r="232" spans="1:5" ht="15.75" x14ac:dyDescent="0.25">
      <c r="A232" s="39" t="s">
        <v>1038</v>
      </c>
      <c r="B232" s="39"/>
      <c r="C232" s="39"/>
      <c r="D232" s="406"/>
      <c r="E232" s="39"/>
    </row>
    <row r="233" spans="1:5" ht="15" x14ac:dyDescent="0.2">
      <c r="A233" s="39" t="s">
        <v>1039</v>
      </c>
      <c r="B233" s="39"/>
      <c r="C233" s="39"/>
      <c r="D233" s="406"/>
      <c r="E233" s="39"/>
    </row>
    <row r="234" spans="1:5" ht="15" x14ac:dyDescent="0.2">
      <c r="A234" s="39"/>
      <c r="B234" s="39"/>
      <c r="C234" s="39"/>
      <c r="D234" s="406"/>
      <c r="E234" s="39"/>
    </row>
    <row r="235" spans="1:5" ht="15.75" x14ac:dyDescent="0.25">
      <c r="A235" s="628" t="s">
        <v>1040</v>
      </c>
      <c r="B235" s="628"/>
      <c r="C235" s="628"/>
      <c r="D235" s="628"/>
      <c r="E235" s="628"/>
    </row>
    <row r="236" spans="1:5" ht="15.75" x14ac:dyDescent="0.25">
      <c r="A236" s="380" t="s">
        <v>1041</v>
      </c>
      <c r="B236" s="39"/>
    </row>
    <row r="237" spans="1:5" ht="15.75" x14ac:dyDescent="0.25">
      <c r="A237" s="380" t="s">
        <v>1042</v>
      </c>
      <c r="B237" s="39"/>
    </row>
    <row r="238" spans="1:5" ht="15.75" x14ac:dyDescent="0.25">
      <c r="A238" s="380" t="s">
        <v>1043</v>
      </c>
      <c r="B238" s="39"/>
    </row>
    <row r="239" spans="1:5" ht="15.75" x14ac:dyDescent="0.25">
      <c r="A239" s="380" t="s">
        <v>1044</v>
      </c>
      <c r="B239" s="39"/>
    </row>
    <row r="240" spans="1:5" ht="15.75" x14ac:dyDescent="0.25">
      <c r="A240" s="380" t="s">
        <v>1045</v>
      </c>
      <c r="B240" s="39"/>
    </row>
    <row r="241" spans="1:2" ht="15.75" x14ac:dyDescent="0.25">
      <c r="A241" s="380" t="s">
        <v>1046</v>
      </c>
      <c r="B241" s="39"/>
    </row>
  </sheetData>
  <sheetProtection algorithmName="SHA-512" hashValue="t+SbPv5bKHclaFjrzi/JWOuXXkdNrTqzNhkXlWyB55gmIoiUH+8LvfEJty822oTBycbbpE/H2bTPTDiMQgSGNA==" saltValue="NWaXNNdfO7tl4CbLAt7ggw==" spinCount="100000" sheet="1" objects="1" scenarios="1"/>
  <mergeCells count="45">
    <mergeCell ref="A228:E228"/>
    <mergeCell ref="A229:E229"/>
    <mergeCell ref="A235:E235"/>
    <mergeCell ref="A187:E187"/>
    <mergeCell ref="A210:E210"/>
    <mergeCell ref="A212:E212"/>
    <mergeCell ref="C220:D220"/>
    <mergeCell ref="C221:D221"/>
    <mergeCell ref="A222:E222"/>
    <mergeCell ref="A186:E186"/>
    <mergeCell ref="E84:E85"/>
    <mergeCell ref="E88:E89"/>
    <mergeCell ref="E91:E92"/>
    <mergeCell ref="E93:E94"/>
    <mergeCell ref="E97:E98"/>
    <mergeCell ref="A106:E106"/>
    <mergeCell ref="A130:E130"/>
    <mergeCell ref="A147:E147"/>
    <mergeCell ref="E175:E176"/>
    <mergeCell ref="C184:D184"/>
    <mergeCell ref="C185:D185"/>
    <mergeCell ref="E80:E81"/>
    <mergeCell ref="E45:E46"/>
    <mergeCell ref="E47:E48"/>
    <mergeCell ref="E49:E50"/>
    <mergeCell ref="E51:E52"/>
    <mergeCell ref="E56:E57"/>
    <mergeCell ref="E58:E59"/>
    <mergeCell ref="E61:E62"/>
    <mergeCell ref="E63:E64"/>
    <mergeCell ref="E65:E66"/>
    <mergeCell ref="E69:E70"/>
    <mergeCell ref="E71:E72"/>
    <mergeCell ref="E41:E42"/>
    <mergeCell ref="C1:D1"/>
    <mergeCell ref="C2:D2"/>
    <mergeCell ref="E8:E9"/>
    <mergeCell ref="E10:E11"/>
    <mergeCell ref="E13:E16"/>
    <mergeCell ref="E17:E18"/>
    <mergeCell ref="E19:E20"/>
    <mergeCell ref="E21:E22"/>
    <mergeCell ref="E23:E24"/>
    <mergeCell ref="E37:E38"/>
    <mergeCell ref="E39:E40"/>
  </mergeCells>
  <pageMargins left="0.28999999999999998" right="0.22" top="0.21" bottom="0.19685039370078741" header="0.17" footer="0.11811023622047245"/>
  <pageSetup paperSize="9" scale="60" fitToHeight="0" orientation="landscape" r:id="rId1"/>
  <headerFooter alignWithMargins="0">
    <oddFooter>Seite &amp;P von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A1:L77"/>
  <sheetViews>
    <sheetView zoomScale="84" zoomScaleNormal="84" workbookViewId="0">
      <selection activeCell="H2" sqref="H2:L3"/>
    </sheetView>
  </sheetViews>
  <sheetFormatPr baseColWidth="10" defaultColWidth="10.125" defaultRowHeight="12.75" x14ac:dyDescent="0.2"/>
  <cols>
    <col min="1" max="1" width="23.875" style="79" customWidth="1"/>
    <col min="2" max="2" width="13.375" style="79" customWidth="1"/>
    <col min="3" max="3" width="10.75" style="79" customWidth="1"/>
    <col min="4" max="4" width="10.375" style="79" customWidth="1"/>
    <col min="5" max="5" width="10.5" style="79" customWidth="1"/>
    <col min="6" max="6" width="18.875" style="113" customWidth="1"/>
    <col min="7" max="7" width="71.125" style="113" customWidth="1"/>
    <col min="8" max="9" width="10.125" style="79"/>
    <col min="10" max="10" width="6" style="79" customWidth="1"/>
    <col min="11" max="11" width="10.125" style="79"/>
    <col min="12" max="12" width="1.75" style="79" customWidth="1"/>
    <col min="13" max="16384" width="10.125" style="79"/>
  </cols>
  <sheetData>
    <row r="1" spans="1:12" s="68" customFormat="1" ht="28.5" thickBot="1" x14ac:dyDescent="0.4">
      <c r="A1" s="641" t="s">
        <v>110</v>
      </c>
      <c r="B1" s="641"/>
      <c r="C1" s="641"/>
      <c r="D1" s="641"/>
      <c r="E1" s="641"/>
      <c r="F1" s="641"/>
      <c r="G1" s="641"/>
    </row>
    <row r="2" spans="1:12" s="72" customFormat="1" ht="47.25" x14ac:dyDescent="0.2">
      <c r="A2" s="69" t="s">
        <v>111</v>
      </c>
      <c r="B2" s="70" t="s">
        <v>112</v>
      </c>
      <c r="C2" s="36" t="s">
        <v>113</v>
      </c>
      <c r="D2" s="36" t="s">
        <v>114</v>
      </c>
      <c r="E2" s="36" t="s">
        <v>115</v>
      </c>
      <c r="F2" s="71" t="s">
        <v>116</v>
      </c>
      <c r="G2" s="71" t="s">
        <v>61</v>
      </c>
      <c r="H2" s="635" t="s">
        <v>306</v>
      </c>
      <c r="I2" s="636"/>
      <c r="J2" s="636"/>
      <c r="K2" s="636"/>
      <c r="L2" s="637"/>
    </row>
    <row r="3" spans="1:12" ht="17.25" customHeight="1" thickBot="1" x14ac:dyDescent="0.25">
      <c r="A3" s="73" t="s">
        <v>117</v>
      </c>
      <c r="B3" s="74"/>
      <c r="C3" s="75"/>
      <c r="D3" s="75"/>
      <c r="E3" s="76"/>
      <c r="F3" s="77"/>
      <c r="G3" s="78"/>
      <c r="H3" s="638"/>
      <c r="I3" s="639"/>
      <c r="J3" s="639"/>
      <c r="K3" s="639"/>
      <c r="L3" s="640"/>
    </row>
    <row r="4" spans="1:12" ht="17.25" customHeight="1" x14ac:dyDescent="0.2">
      <c r="A4" s="80" t="s">
        <v>118</v>
      </c>
      <c r="B4" s="80" t="s">
        <v>119</v>
      </c>
      <c r="C4" s="81" t="s">
        <v>120</v>
      </c>
      <c r="D4" s="81" t="s">
        <v>121</v>
      </c>
      <c r="E4" s="82" t="s">
        <v>122</v>
      </c>
      <c r="F4" s="40" t="s">
        <v>123</v>
      </c>
      <c r="G4" s="41" t="s">
        <v>124</v>
      </c>
    </row>
    <row r="5" spans="1:12" ht="17.25" customHeight="1" x14ac:dyDescent="0.2">
      <c r="A5" s="80" t="s">
        <v>40</v>
      </c>
      <c r="B5" s="80" t="s">
        <v>125</v>
      </c>
      <c r="C5" s="81" t="s">
        <v>126</v>
      </c>
      <c r="D5" s="81" t="s">
        <v>121</v>
      </c>
      <c r="E5" s="83" t="s">
        <v>122</v>
      </c>
      <c r="F5" s="40" t="s">
        <v>127</v>
      </c>
      <c r="G5" s="41" t="s">
        <v>128</v>
      </c>
    </row>
    <row r="6" spans="1:12" ht="17.25" customHeight="1" x14ac:dyDescent="0.25">
      <c r="A6" s="84" t="s">
        <v>129</v>
      </c>
      <c r="B6" s="85"/>
      <c r="C6" s="86"/>
      <c r="D6" s="86"/>
      <c r="E6" s="87"/>
      <c r="F6" s="88"/>
      <c r="G6" s="89" t="s">
        <v>130</v>
      </c>
    </row>
    <row r="7" spans="1:12" ht="17.25" customHeight="1" x14ac:dyDescent="0.2">
      <c r="A7" s="80" t="s">
        <v>131</v>
      </c>
      <c r="B7" s="80" t="s">
        <v>119</v>
      </c>
      <c r="C7" s="81" t="s">
        <v>126</v>
      </c>
      <c r="D7" s="81" t="s">
        <v>132</v>
      </c>
      <c r="E7" s="82" t="s">
        <v>133</v>
      </c>
      <c r="F7" s="613" t="s">
        <v>134</v>
      </c>
      <c r="G7" s="41" t="s">
        <v>135</v>
      </c>
    </row>
    <row r="8" spans="1:12" ht="17.25" customHeight="1" x14ac:dyDescent="0.2">
      <c r="A8" s="80" t="s">
        <v>38</v>
      </c>
      <c r="B8" s="80" t="s">
        <v>136</v>
      </c>
      <c r="C8" s="81" t="s">
        <v>137</v>
      </c>
      <c r="D8" s="81" t="s">
        <v>138</v>
      </c>
      <c r="E8" s="82" t="s">
        <v>139</v>
      </c>
      <c r="F8" s="613"/>
      <c r="G8" s="41" t="s">
        <v>140</v>
      </c>
    </row>
    <row r="9" spans="1:12" ht="17.25" customHeight="1" x14ac:dyDescent="0.2">
      <c r="A9" s="80" t="s">
        <v>30</v>
      </c>
      <c r="B9" s="80" t="s">
        <v>141</v>
      </c>
      <c r="C9" s="81" t="s">
        <v>137</v>
      </c>
      <c r="D9" s="81" t="s">
        <v>132</v>
      </c>
      <c r="E9" s="82" t="s">
        <v>97</v>
      </c>
      <c r="F9" s="40" t="s">
        <v>123</v>
      </c>
      <c r="G9" s="41" t="s">
        <v>142</v>
      </c>
    </row>
    <row r="10" spans="1:12" ht="17.25" customHeight="1" x14ac:dyDescent="0.2">
      <c r="A10" s="80" t="s">
        <v>21</v>
      </c>
      <c r="B10" s="80" t="s">
        <v>141</v>
      </c>
      <c r="C10" s="81" t="s">
        <v>137</v>
      </c>
      <c r="D10" s="81" t="s">
        <v>132</v>
      </c>
      <c r="E10" s="82" t="s">
        <v>47</v>
      </c>
      <c r="F10" s="40" t="s">
        <v>123</v>
      </c>
      <c r="G10" s="41" t="s">
        <v>143</v>
      </c>
    </row>
    <row r="11" spans="1:12" ht="17.25" customHeight="1" x14ac:dyDescent="0.2">
      <c r="A11" s="80" t="s">
        <v>16</v>
      </c>
      <c r="B11" s="80" t="s">
        <v>119</v>
      </c>
      <c r="C11" s="81" t="s">
        <v>137</v>
      </c>
      <c r="D11" s="81" t="s">
        <v>138</v>
      </c>
      <c r="E11" s="82" t="s">
        <v>144</v>
      </c>
      <c r="F11" s="40" t="s">
        <v>145</v>
      </c>
      <c r="G11" s="41" t="s">
        <v>146</v>
      </c>
    </row>
    <row r="12" spans="1:12" ht="17.25" customHeight="1" x14ac:dyDescent="0.2">
      <c r="A12" s="80" t="s">
        <v>70</v>
      </c>
      <c r="B12" s="80" t="s">
        <v>141</v>
      </c>
      <c r="C12" s="81" t="s">
        <v>137</v>
      </c>
      <c r="D12" s="81" t="s">
        <v>147</v>
      </c>
      <c r="E12" s="82" t="s">
        <v>148</v>
      </c>
      <c r="F12" s="613" t="s">
        <v>149</v>
      </c>
      <c r="G12" s="41" t="s">
        <v>150</v>
      </c>
    </row>
    <row r="13" spans="1:12" ht="17.25" customHeight="1" x14ac:dyDescent="0.2">
      <c r="A13" s="80" t="s">
        <v>151</v>
      </c>
      <c r="B13" s="80" t="s">
        <v>141</v>
      </c>
      <c r="C13" s="81" t="s">
        <v>137</v>
      </c>
      <c r="D13" s="81" t="s">
        <v>147</v>
      </c>
      <c r="E13" s="82" t="s">
        <v>97</v>
      </c>
      <c r="F13" s="613"/>
      <c r="G13" s="41" t="s">
        <v>152</v>
      </c>
    </row>
    <row r="14" spans="1:12" ht="17.25" customHeight="1" x14ac:dyDescent="0.2">
      <c r="A14" s="80" t="s">
        <v>33</v>
      </c>
      <c r="B14" s="80" t="s">
        <v>141</v>
      </c>
      <c r="C14" s="81" t="s">
        <v>137</v>
      </c>
      <c r="D14" s="81" t="s">
        <v>138</v>
      </c>
      <c r="E14" s="82" t="s">
        <v>153</v>
      </c>
      <c r="F14" s="613" t="s">
        <v>145</v>
      </c>
      <c r="G14" s="41" t="s">
        <v>154</v>
      </c>
    </row>
    <row r="15" spans="1:12" ht="17.25" customHeight="1" x14ac:dyDescent="0.2">
      <c r="A15" s="74" t="s">
        <v>155</v>
      </c>
      <c r="B15" s="74" t="s">
        <v>156</v>
      </c>
      <c r="C15" s="75" t="s">
        <v>137</v>
      </c>
      <c r="D15" s="75" t="s">
        <v>147</v>
      </c>
      <c r="E15" s="76" t="s">
        <v>144</v>
      </c>
      <c r="F15" s="642"/>
      <c r="G15" s="90" t="s">
        <v>157</v>
      </c>
    </row>
    <row r="16" spans="1:12" ht="17.25" customHeight="1" x14ac:dyDescent="0.25">
      <c r="A16" s="84" t="s">
        <v>159</v>
      </c>
      <c r="B16" s="91"/>
      <c r="C16" s="92"/>
      <c r="D16" s="92"/>
      <c r="E16" s="93"/>
      <c r="F16" s="56"/>
      <c r="G16" s="94"/>
    </row>
    <row r="17" spans="1:7" ht="17.25" customHeight="1" x14ac:dyDescent="0.2">
      <c r="A17" s="95" t="s">
        <v>160</v>
      </c>
      <c r="B17" s="95" t="s">
        <v>161</v>
      </c>
      <c r="C17" s="96" t="s">
        <v>138</v>
      </c>
      <c r="D17" s="96" t="s">
        <v>132</v>
      </c>
      <c r="E17" s="97" t="s">
        <v>51</v>
      </c>
      <c r="F17" s="643" t="s">
        <v>149</v>
      </c>
      <c r="G17" s="98" t="s">
        <v>162</v>
      </c>
    </row>
    <row r="18" spans="1:7" ht="17.25" customHeight="1" x14ac:dyDescent="0.2">
      <c r="A18" s="80" t="s">
        <v>163</v>
      </c>
      <c r="B18" s="80" t="s">
        <v>161</v>
      </c>
      <c r="C18" s="81" t="s">
        <v>126</v>
      </c>
      <c r="D18" s="81" t="s">
        <v>121</v>
      </c>
      <c r="E18" s="82" t="s">
        <v>51</v>
      </c>
      <c r="F18" s="644"/>
      <c r="G18" s="41" t="s">
        <v>164</v>
      </c>
    </row>
    <row r="19" spans="1:7" ht="17.25" customHeight="1" x14ac:dyDescent="0.2">
      <c r="A19" s="80" t="s">
        <v>165</v>
      </c>
      <c r="B19" s="80" t="s">
        <v>136</v>
      </c>
      <c r="C19" s="81" t="s">
        <v>138</v>
      </c>
      <c r="D19" s="81" t="s">
        <v>138</v>
      </c>
      <c r="E19" s="82" t="s">
        <v>166</v>
      </c>
      <c r="F19" s="644"/>
      <c r="G19" s="41" t="s">
        <v>167</v>
      </c>
    </row>
    <row r="20" spans="1:7" ht="17.25" customHeight="1" x14ac:dyDescent="0.2">
      <c r="A20" s="80" t="s">
        <v>168</v>
      </c>
      <c r="B20" s="80" t="s">
        <v>136</v>
      </c>
      <c r="C20" s="81" t="s">
        <v>138</v>
      </c>
      <c r="D20" s="81" t="s">
        <v>132</v>
      </c>
      <c r="E20" s="82" t="s">
        <v>51</v>
      </c>
      <c r="F20" s="644"/>
      <c r="G20" s="41" t="s">
        <v>169</v>
      </c>
    </row>
    <row r="21" spans="1:7" ht="17.25" customHeight="1" x14ac:dyDescent="0.2">
      <c r="A21" s="80" t="s">
        <v>170</v>
      </c>
      <c r="B21" s="80" t="s">
        <v>136</v>
      </c>
      <c r="C21" s="81" t="s">
        <v>137</v>
      </c>
      <c r="D21" s="81" t="s">
        <v>158</v>
      </c>
      <c r="E21" s="82" t="s">
        <v>171</v>
      </c>
      <c r="F21" s="644"/>
      <c r="G21" s="41" t="s">
        <v>172</v>
      </c>
    </row>
    <row r="22" spans="1:7" ht="17.25" customHeight="1" x14ac:dyDescent="0.2">
      <c r="A22" s="80" t="s">
        <v>173</v>
      </c>
      <c r="B22" s="80" t="s">
        <v>156</v>
      </c>
      <c r="C22" s="81" t="s">
        <v>137</v>
      </c>
      <c r="D22" s="81" t="s">
        <v>158</v>
      </c>
      <c r="E22" s="82" t="s">
        <v>96</v>
      </c>
      <c r="F22" s="644"/>
      <c r="G22" s="41" t="s">
        <v>174</v>
      </c>
    </row>
    <row r="23" spans="1:7" ht="17.25" customHeight="1" x14ac:dyDescent="0.2">
      <c r="A23" s="80" t="s">
        <v>175</v>
      </c>
      <c r="B23" s="80" t="s">
        <v>136</v>
      </c>
      <c r="C23" s="81" t="s">
        <v>137</v>
      </c>
      <c r="D23" s="81" t="s">
        <v>121</v>
      </c>
      <c r="E23" s="82">
        <v>20</v>
      </c>
      <c r="F23" s="644"/>
      <c r="G23" s="41" t="s">
        <v>176</v>
      </c>
    </row>
    <row r="24" spans="1:7" ht="17.25" customHeight="1" x14ac:dyDescent="0.2">
      <c r="A24" s="80" t="s">
        <v>177</v>
      </c>
      <c r="B24" s="80" t="s">
        <v>136</v>
      </c>
      <c r="C24" s="81" t="s">
        <v>138</v>
      </c>
      <c r="D24" s="81" t="s">
        <v>138</v>
      </c>
      <c r="E24" s="82" t="s">
        <v>178</v>
      </c>
      <c r="F24" s="644"/>
      <c r="G24" s="41" t="s">
        <v>179</v>
      </c>
    </row>
    <row r="25" spans="1:7" ht="17.25" customHeight="1" x14ac:dyDescent="0.2">
      <c r="A25" s="80" t="s">
        <v>180</v>
      </c>
      <c r="B25" s="80" t="s">
        <v>136</v>
      </c>
      <c r="C25" s="81" t="s">
        <v>126</v>
      </c>
      <c r="D25" s="81" t="s">
        <v>138</v>
      </c>
      <c r="E25" s="82" t="s">
        <v>181</v>
      </c>
      <c r="F25" s="644"/>
      <c r="G25" s="41" t="s">
        <v>182</v>
      </c>
    </row>
    <row r="26" spans="1:7" ht="17.25" customHeight="1" x14ac:dyDescent="0.2">
      <c r="A26" s="80" t="s">
        <v>183</v>
      </c>
      <c r="B26" s="80" t="s">
        <v>156</v>
      </c>
      <c r="C26" s="81" t="s">
        <v>137</v>
      </c>
      <c r="D26" s="81" t="s">
        <v>132</v>
      </c>
      <c r="E26" s="82">
        <v>20</v>
      </c>
      <c r="F26" s="644"/>
      <c r="G26" s="41" t="s">
        <v>184</v>
      </c>
    </row>
    <row r="27" spans="1:7" ht="17.25" customHeight="1" x14ac:dyDescent="0.2">
      <c r="A27" s="80" t="s">
        <v>185</v>
      </c>
      <c r="B27" s="80" t="s">
        <v>136</v>
      </c>
      <c r="C27" s="81" t="s">
        <v>126</v>
      </c>
      <c r="D27" s="81" t="s">
        <v>132</v>
      </c>
      <c r="E27" s="82" t="s">
        <v>186</v>
      </c>
      <c r="F27" s="40" t="s">
        <v>123</v>
      </c>
      <c r="G27" s="41" t="s">
        <v>187</v>
      </c>
    </row>
    <row r="28" spans="1:7" ht="17.25" customHeight="1" x14ac:dyDescent="0.2">
      <c r="A28" s="74" t="s">
        <v>64</v>
      </c>
      <c r="B28" s="74" t="s">
        <v>136</v>
      </c>
      <c r="C28" s="75" t="s">
        <v>126</v>
      </c>
      <c r="D28" s="75" t="s">
        <v>132</v>
      </c>
      <c r="E28" s="76" t="s">
        <v>188</v>
      </c>
      <c r="F28" s="77" t="s">
        <v>123</v>
      </c>
      <c r="G28" s="41" t="s">
        <v>189</v>
      </c>
    </row>
    <row r="29" spans="1:7" ht="17.25" customHeight="1" x14ac:dyDescent="0.25">
      <c r="A29" s="84" t="s">
        <v>43</v>
      </c>
      <c r="B29" s="85"/>
      <c r="C29" s="86"/>
      <c r="D29" s="86"/>
      <c r="E29" s="87"/>
      <c r="F29" s="88"/>
      <c r="G29" s="645" t="s">
        <v>190</v>
      </c>
    </row>
    <row r="30" spans="1:7" ht="17.25" customHeight="1" x14ac:dyDescent="0.2">
      <c r="A30" s="99" t="s">
        <v>191</v>
      </c>
      <c r="B30" s="95" t="s">
        <v>192</v>
      </c>
      <c r="C30" s="96" t="s">
        <v>126</v>
      </c>
      <c r="D30" s="96" t="s">
        <v>121</v>
      </c>
      <c r="E30" s="100" t="s">
        <v>193</v>
      </c>
      <c r="F30" s="101"/>
      <c r="G30" s="646"/>
    </row>
    <row r="31" spans="1:7" ht="17.25" customHeight="1" x14ac:dyDescent="0.2">
      <c r="A31" s="102" t="s">
        <v>194</v>
      </c>
      <c r="B31" s="80" t="s">
        <v>136</v>
      </c>
      <c r="C31" s="81" t="s">
        <v>126</v>
      </c>
      <c r="D31" s="81" t="s">
        <v>121</v>
      </c>
      <c r="E31" s="83" t="s">
        <v>99</v>
      </c>
      <c r="F31" s="40"/>
      <c r="G31" s="103" t="s">
        <v>195</v>
      </c>
    </row>
    <row r="32" spans="1:7" ht="17.25" customHeight="1" x14ac:dyDescent="0.2">
      <c r="A32" s="102" t="s">
        <v>196</v>
      </c>
      <c r="B32" s="80" t="s">
        <v>197</v>
      </c>
      <c r="C32" s="81" t="s">
        <v>126</v>
      </c>
      <c r="D32" s="81" t="s">
        <v>121</v>
      </c>
      <c r="E32" s="82" t="s">
        <v>48</v>
      </c>
      <c r="F32" s="40"/>
      <c r="G32" s="41" t="s">
        <v>198</v>
      </c>
    </row>
    <row r="33" spans="1:7" ht="17.25" customHeight="1" x14ac:dyDescent="0.2">
      <c r="A33" s="102" t="s">
        <v>199</v>
      </c>
      <c r="B33" s="80" t="s">
        <v>141</v>
      </c>
      <c r="C33" s="81" t="s">
        <v>137</v>
      </c>
      <c r="D33" s="81" t="s">
        <v>121</v>
      </c>
      <c r="E33" s="82" t="s">
        <v>178</v>
      </c>
      <c r="F33" s="40"/>
      <c r="G33" s="41" t="s">
        <v>200</v>
      </c>
    </row>
    <row r="34" spans="1:7" ht="17.25" customHeight="1" x14ac:dyDescent="0.2">
      <c r="A34" s="102" t="s">
        <v>57</v>
      </c>
      <c r="B34" s="80" t="s">
        <v>141</v>
      </c>
      <c r="C34" s="81"/>
      <c r="D34" s="81"/>
      <c r="E34" s="82"/>
      <c r="F34" s="40"/>
      <c r="G34" s="104" t="s">
        <v>201</v>
      </c>
    </row>
    <row r="35" spans="1:7" ht="17.25" customHeight="1" x14ac:dyDescent="0.2">
      <c r="A35" s="102" t="s">
        <v>58</v>
      </c>
      <c r="B35" s="80" t="s">
        <v>202</v>
      </c>
      <c r="C35" s="81"/>
      <c r="D35" s="81"/>
      <c r="E35" s="82"/>
      <c r="F35" s="40"/>
      <c r="G35" s="104" t="s">
        <v>89</v>
      </c>
    </row>
    <row r="36" spans="1:7" ht="17.25" customHeight="1" x14ac:dyDescent="0.25">
      <c r="A36" s="84" t="s">
        <v>203</v>
      </c>
      <c r="B36" s="85"/>
      <c r="C36" s="86"/>
      <c r="D36" s="86"/>
      <c r="E36" s="87"/>
      <c r="F36" s="88"/>
      <c r="G36" s="647" t="s">
        <v>204</v>
      </c>
    </row>
    <row r="37" spans="1:7" ht="17.25" customHeight="1" x14ac:dyDescent="0.2">
      <c r="A37" s="105" t="s">
        <v>205</v>
      </c>
      <c r="B37" s="106" t="s">
        <v>206</v>
      </c>
      <c r="C37" s="107" t="s">
        <v>137</v>
      </c>
      <c r="D37" s="107" t="s">
        <v>121</v>
      </c>
      <c r="E37" s="108" t="s">
        <v>207</v>
      </c>
      <c r="F37" s="109" t="s">
        <v>127</v>
      </c>
      <c r="G37" s="648"/>
    </row>
    <row r="38" spans="1:7" ht="17.25" customHeight="1" x14ac:dyDescent="0.2">
      <c r="A38" s="105" t="s">
        <v>15</v>
      </c>
      <c r="B38" s="106" t="s">
        <v>206</v>
      </c>
      <c r="C38" s="107" t="s">
        <v>137</v>
      </c>
      <c r="D38" s="107" t="s">
        <v>121</v>
      </c>
      <c r="E38" s="108" t="s">
        <v>208</v>
      </c>
      <c r="F38" s="109" t="s">
        <v>127</v>
      </c>
      <c r="G38" s="110" t="s">
        <v>209</v>
      </c>
    </row>
    <row r="39" spans="1:7" ht="19.5" customHeight="1" x14ac:dyDescent="0.2">
      <c r="A39" s="111" t="s">
        <v>210</v>
      </c>
      <c r="B39" s="111"/>
      <c r="C39" s="111"/>
      <c r="D39" s="111"/>
      <c r="E39" s="111"/>
      <c r="F39" s="112"/>
      <c r="G39" s="112"/>
    </row>
    <row r="40" spans="1:7" ht="14.25" x14ac:dyDescent="0.2">
      <c r="A40" s="111" t="s">
        <v>211</v>
      </c>
      <c r="B40" s="111"/>
      <c r="C40" s="111"/>
      <c r="D40" s="111"/>
      <c r="E40" s="111"/>
      <c r="F40" s="112"/>
      <c r="G40" s="112"/>
    </row>
    <row r="42" spans="1:7" ht="18" x14ac:dyDescent="0.25">
      <c r="A42" s="114"/>
      <c r="B42" s="114"/>
      <c r="G42" s="115"/>
    </row>
    <row r="43" spans="1:7" ht="27.75" x14ac:dyDescent="0.2">
      <c r="A43" s="641" t="s">
        <v>212</v>
      </c>
      <c r="B43" s="641"/>
      <c r="C43" s="641"/>
      <c r="D43" s="641"/>
      <c r="E43" s="641"/>
      <c r="F43" s="641"/>
      <c r="G43" s="641"/>
    </row>
    <row r="44" spans="1:7" ht="49.5" x14ac:dyDescent="0.2">
      <c r="A44" s="69" t="s">
        <v>111</v>
      </c>
      <c r="B44" s="70" t="s">
        <v>112</v>
      </c>
      <c r="C44" s="36" t="s">
        <v>113</v>
      </c>
      <c r="D44" s="71" t="s">
        <v>114</v>
      </c>
      <c r="E44" s="71" t="s">
        <v>115</v>
      </c>
      <c r="F44" s="71" t="s">
        <v>116</v>
      </c>
      <c r="G44" s="71" t="s">
        <v>61</v>
      </c>
    </row>
    <row r="45" spans="1:7" ht="15.75" x14ac:dyDescent="0.2">
      <c r="A45" s="116" t="s">
        <v>213</v>
      </c>
      <c r="B45" s="117"/>
      <c r="C45" s="92"/>
      <c r="D45" s="92"/>
      <c r="E45" s="92"/>
      <c r="F45" s="56"/>
      <c r="G45" s="94"/>
    </row>
    <row r="46" spans="1:7" ht="28.5" x14ac:dyDescent="0.2">
      <c r="A46" s="80" t="s">
        <v>214</v>
      </c>
      <c r="B46" s="102" t="s">
        <v>156</v>
      </c>
      <c r="C46" s="81" t="s">
        <v>138</v>
      </c>
      <c r="D46" s="81" t="s">
        <v>138</v>
      </c>
      <c r="E46" s="82" t="s">
        <v>178</v>
      </c>
      <c r="F46" s="613" t="s">
        <v>145</v>
      </c>
      <c r="G46" s="41" t="s">
        <v>215</v>
      </c>
    </row>
    <row r="47" spans="1:7" ht="28.5" x14ac:dyDescent="0.2">
      <c r="A47" s="80" t="s">
        <v>216</v>
      </c>
      <c r="B47" s="102" t="s">
        <v>141</v>
      </c>
      <c r="C47" s="81" t="s">
        <v>126</v>
      </c>
      <c r="D47" s="81" t="s">
        <v>217</v>
      </c>
      <c r="E47" s="82">
        <v>10</v>
      </c>
      <c r="F47" s="613"/>
      <c r="G47" s="41" t="s">
        <v>218</v>
      </c>
    </row>
    <row r="48" spans="1:7" ht="28.5" x14ac:dyDescent="0.2">
      <c r="A48" s="80" t="s">
        <v>219</v>
      </c>
      <c r="B48" s="102" t="s">
        <v>141</v>
      </c>
      <c r="C48" s="81" t="s">
        <v>138</v>
      </c>
      <c r="D48" s="81" t="s">
        <v>138</v>
      </c>
      <c r="E48" s="82">
        <v>15</v>
      </c>
      <c r="F48" s="613"/>
      <c r="G48" s="41" t="s">
        <v>220</v>
      </c>
    </row>
    <row r="49" spans="1:7" ht="28.5" x14ac:dyDescent="0.2">
      <c r="A49" s="80" t="s">
        <v>221</v>
      </c>
      <c r="B49" s="102" t="s">
        <v>161</v>
      </c>
      <c r="C49" s="81" t="s">
        <v>138</v>
      </c>
      <c r="D49" s="81" t="s">
        <v>132</v>
      </c>
      <c r="E49" s="82" t="s">
        <v>222</v>
      </c>
      <c r="F49" s="40" t="s">
        <v>123</v>
      </c>
      <c r="G49" s="41" t="s">
        <v>223</v>
      </c>
    </row>
    <row r="50" spans="1:7" ht="28.5" x14ac:dyDescent="0.2">
      <c r="A50" s="80" t="s">
        <v>10</v>
      </c>
      <c r="B50" s="102" t="s">
        <v>161</v>
      </c>
      <c r="C50" s="81" t="s">
        <v>120</v>
      </c>
      <c r="D50" s="81" t="s">
        <v>225</v>
      </c>
      <c r="E50" s="82" t="s">
        <v>226</v>
      </c>
      <c r="F50" s="40" t="s">
        <v>227</v>
      </c>
      <c r="G50" s="41" t="s">
        <v>228</v>
      </c>
    </row>
    <row r="51" spans="1:7" ht="15.75" x14ac:dyDescent="0.2">
      <c r="A51" s="116" t="s">
        <v>117</v>
      </c>
      <c r="B51" s="117"/>
      <c r="C51" s="92"/>
      <c r="D51" s="92"/>
      <c r="E51" s="92"/>
      <c r="F51" s="56"/>
      <c r="G51" s="94"/>
    </row>
    <row r="52" spans="1:7" ht="15" x14ac:dyDescent="0.2">
      <c r="A52" s="80" t="s">
        <v>34</v>
      </c>
      <c r="B52" s="102" t="s">
        <v>192</v>
      </c>
      <c r="C52" s="81" t="s">
        <v>126</v>
      </c>
      <c r="D52" s="81" t="s">
        <v>121</v>
      </c>
      <c r="E52" s="82" t="s">
        <v>122</v>
      </c>
      <c r="F52" s="40" t="s">
        <v>123</v>
      </c>
      <c r="G52" s="41" t="s">
        <v>229</v>
      </c>
    </row>
    <row r="53" spans="1:7" ht="28.5" x14ac:dyDescent="0.2">
      <c r="A53" s="80" t="s">
        <v>230</v>
      </c>
      <c r="B53" s="102" t="s">
        <v>156</v>
      </c>
      <c r="C53" s="81" t="s">
        <v>126</v>
      </c>
      <c r="D53" s="81" t="s">
        <v>121</v>
      </c>
      <c r="E53" s="81" t="s">
        <v>178</v>
      </c>
      <c r="F53" s="40" t="s">
        <v>123</v>
      </c>
      <c r="G53" s="41" t="s">
        <v>231</v>
      </c>
    </row>
    <row r="54" spans="1:7" ht="28.5" x14ac:dyDescent="0.2">
      <c r="A54" s="80" t="s">
        <v>232</v>
      </c>
      <c r="B54" s="102" t="s">
        <v>233</v>
      </c>
      <c r="C54" s="81" t="s">
        <v>126</v>
      </c>
      <c r="D54" s="81" t="s">
        <v>121</v>
      </c>
      <c r="E54" s="81">
        <v>5</v>
      </c>
      <c r="F54" s="40" t="s">
        <v>127</v>
      </c>
      <c r="G54" s="41" t="s">
        <v>234</v>
      </c>
    </row>
    <row r="55" spans="1:7" ht="28.5" x14ac:dyDescent="0.2">
      <c r="A55" s="80" t="s">
        <v>23</v>
      </c>
      <c r="B55" s="102" t="s">
        <v>141</v>
      </c>
      <c r="C55" s="81" t="s">
        <v>126</v>
      </c>
      <c r="D55" s="81" t="s">
        <v>138</v>
      </c>
      <c r="E55" s="81" t="s">
        <v>235</v>
      </c>
      <c r="F55" s="40" t="s">
        <v>227</v>
      </c>
      <c r="G55" s="41" t="s">
        <v>236</v>
      </c>
    </row>
    <row r="56" spans="1:7" ht="42.75" x14ac:dyDescent="0.2">
      <c r="A56" s="40" t="s">
        <v>237</v>
      </c>
      <c r="B56" s="102" t="s">
        <v>141</v>
      </c>
      <c r="C56" s="81" t="s">
        <v>126</v>
      </c>
      <c r="D56" s="81" t="s">
        <v>121</v>
      </c>
      <c r="E56" s="81" t="s">
        <v>97</v>
      </c>
      <c r="F56" s="40" t="s">
        <v>123</v>
      </c>
      <c r="G56" s="41" t="s">
        <v>238</v>
      </c>
    </row>
    <row r="57" spans="1:7" ht="28.5" x14ac:dyDescent="0.2">
      <c r="A57" s="40" t="s">
        <v>239</v>
      </c>
      <c r="B57" s="102" t="s">
        <v>156</v>
      </c>
      <c r="C57" s="81" t="s">
        <v>126</v>
      </c>
      <c r="D57" s="81" t="s">
        <v>121</v>
      </c>
      <c r="E57" s="81" t="s">
        <v>144</v>
      </c>
      <c r="F57" s="40" t="s">
        <v>123</v>
      </c>
      <c r="G57" s="41" t="s">
        <v>231</v>
      </c>
    </row>
    <row r="58" spans="1:7" ht="28.5" x14ac:dyDescent="0.2">
      <c r="A58" s="80" t="s">
        <v>36</v>
      </c>
      <c r="B58" s="102" t="s">
        <v>119</v>
      </c>
      <c r="C58" s="81" t="s">
        <v>126</v>
      </c>
      <c r="D58" s="81" t="s">
        <v>121</v>
      </c>
      <c r="E58" s="118" t="s">
        <v>122</v>
      </c>
      <c r="F58" s="40" t="s">
        <v>127</v>
      </c>
      <c r="G58" s="41" t="s">
        <v>240</v>
      </c>
    </row>
    <row r="59" spans="1:7" ht="28.5" x14ac:dyDescent="0.2">
      <c r="A59" s="80" t="s">
        <v>241</v>
      </c>
      <c r="B59" s="102" t="s">
        <v>136</v>
      </c>
      <c r="C59" s="81" t="s">
        <v>126</v>
      </c>
      <c r="D59" s="81" t="s">
        <v>121</v>
      </c>
      <c r="E59" s="81" t="s">
        <v>178</v>
      </c>
      <c r="F59" s="40" t="s">
        <v>242</v>
      </c>
      <c r="G59" s="41" t="s">
        <v>243</v>
      </c>
    </row>
    <row r="60" spans="1:7" ht="28.5" x14ac:dyDescent="0.2">
      <c r="A60" s="80" t="s">
        <v>244</v>
      </c>
      <c r="B60" s="102" t="s">
        <v>245</v>
      </c>
      <c r="C60" s="81" t="s">
        <v>126</v>
      </c>
      <c r="D60" s="81" t="s">
        <v>132</v>
      </c>
      <c r="E60" s="118" t="s">
        <v>246</v>
      </c>
      <c r="F60" s="40" t="s">
        <v>127</v>
      </c>
      <c r="G60" s="41" t="s">
        <v>247</v>
      </c>
    </row>
    <row r="61" spans="1:7" ht="28.5" x14ac:dyDescent="0.2">
      <c r="A61" s="80" t="s">
        <v>19</v>
      </c>
      <c r="B61" s="102" t="s">
        <v>161</v>
      </c>
      <c r="C61" s="81" t="s">
        <v>137</v>
      </c>
      <c r="D61" s="81" t="s">
        <v>138</v>
      </c>
      <c r="E61" s="119" t="s">
        <v>248</v>
      </c>
      <c r="F61" s="40" t="s">
        <v>249</v>
      </c>
      <c r="G61" s="41" t="s">
        <v>250</v>
      </c>
    </row>
    <row r="62" spans="1:7" ht="15.75" x14ac:dyDescent="0.2">
      <c r="A62" s="116" t="s">
        <v>159</v>
      </c>
      <c r="B62" s="117"/>
      <c r="C62" s="92"/>
      <c r="D62" s="92"/>
      <c r="E62" s="92"/>
      <c r="F62" s="56"/>
      <c r="G62" s="94"/>
    </row>
    <row r="63" spans="1:7" ht="28.5" x14ac:dyDescent="0.2">
      <c r="A63" s="80" t="s">
        <v>37</v>
      </c>
      <c r="B63" s="102" t="s">
        <v>251</v>
      </c>
      <c r="C63" s="81" t="s">
        <v>126</v>
      </c>
      <c r="D63" s="81" t="s">
        <v>158</v>
      </c>
      <c r="E63" s="82" t="s">
        <v>252</v>
      </c>
      <c r="F63" s="40" t="s">
        <v>242</v>
      </c>
      <c r="G63" s="41" t="s">
        <v>253</v>
      </c>
    </row>
    <row r="64" spans="1:7" ht="42.75" x14ac:dyDescent="0.2">
      <c r="A64" s="80" t="s">
        <v>254</v>
      </c>
      <c r="B64" s="102" t="s">
        <v>161</v>
      </c>
      <c r="C64" s="81" t="s">
        <v>126</v>
      </c>
      <c r="D64" s="81" t="s">
        <v>121</v>
      </c>
      <c r="E64" s="81" t="s">
        <v>255</v>
      </c>
      <c r="F64" s="40" t="s">
        <v>123</v>
      </c>
      <c r="G64" s="41" t="s">
        <v>256</v>
      </c>
    </row>
    <row r="65" spans="1:7" ht="28.5" x14ac:dyDescent="0.2">
      <c r="A65" s="77" t="s">
        <v>257</v>
      </c>
      <c r="B65" s="120" t="s">
        <v>161</v>
      </c>
      <c r="C65" s="75" t="s">
        <v>126</v>
      </c>
      <c r="D65" s="75" t="s">
        <v>121</v>
      </c>
      <c r="E65" s="75">
        <v>40</v>
      </c>
      <c r="F65" s="77" t="s">
        <v>123</v>
      </c>
      <c r="G65" s="78" t="s">
        <v>258</v>
      </c>
    </row>
    <row r="66" spans="1:7" ht="15.75" x14ac:dyDescent="0.2">
      <c r="A66" s="116" t="s">
        <v>129</v>
      </c>
      <c r="B66" s="117"/>
      <c r="C66" s="92"/>
      <c r="D66" s="92"/>
      <c r="E66" s="92"/>
      <c r="F66" s="56"/>
      <c r="G66" s="94"/>
    </row>
    <row r="67" spans="1:7" ht="30" x14ac:dyDescent="0.2">
      <c r="A67" s="101" t="s">
        <v>259</v>
      </c>
      <c r="B67" s="99" t="s">
        <v>141</v>
      </c>
      <c r="C67" s="96" t="s">
        <v>137</v>
      </c>
      <c r="D67" s="96" t="s">
        <v>138</v>
      </c>
      <c r="E67" s="96" t="s">
        <v>144</v>
      </c>
      <c r="F67" s="649" t="s">
        <v>145</v>
      </c>
      <c r="G67" s="98" t="s">
        <v>260</v>
      </c>
    </row>
    <row r="68" spans="1:7" ht="28.5" x14ac:dyDescent="0.2">
      <c r="A68" s="80" t="s">
        <v>25</v>
      </c>
      <c r="B68" s="102" t="s">
        <v>156</v>
      </c>
      <c r="C68" s="81" t="s">
        <v>137</v>
      </c>
      <c r="D68" s="81" t="s">
        <v>138</v>
      </c>
      <c r="E68" s="81" t="s">
        <v>97</v>
      </c>
      <c r="F68" s="613"/>
      <c r="G68" s="41" t="s">
        <v>260</v>
      </c>
    </row>
    <row r="69" spans="1:7" ht="15" x14ac:dyDescent="0.2">
      <c r="A69" s="80" t="s">
        <v>261</v>
      </c>
      <c r="B69" s="102" t="s">
        <v>156</v>
      </c>
      <c r="C69" s="81" t="s">
        <v>126</v>
      </c>
      <c r="D69" s="81" t="s">
        <v>132</v>
      </c>
      <c r="E69" s="81" t="s">
        <v>262</v>
      </c>
      <c r="F69" s="613" t="s">
        <v>263</v>
      </c>
      <c r="G69" s="41" t="s">
        <v>264</v>
      </c>
    </row>
    <row r="70" spans="1:7" ht="28.5" x14ac:dyDescent="0.2">
      <c r="A70" s="80" t="s">
        <v>13</v>
      </c>
      <c r="B70" s="102" t="s">
        <v>141</v>
      </c>
      <c r="C70" s="81" t="s">
        <v>126</v>
      </c>
      <c r="D70" s="81" t="s">
        <v>138</v>
      </c>
      <c r="E70" s="81" t="s">
        <v>265</v>
      </c>
      <c r="F70" s="613"/>
      <c r="G70" s="41" t="s">
        <v>266</v>
      </c>
    </row>
    <row r="71" spans="1:7" ht="28.5" x14ac:dyDescent="0.2">
      <c r="A71" s="80" t="s">
        <v>75</v>
      </c>
      <c r="B71" s="102" t="s">
        <v>141</v>
      </c>
      <c r="C71" s="81" t="s">
        <v>137</v>
      </c>
      <c r="D71" s="81" t="s">
        <v>138</v>
      </c>
      <c r="E71" s="81" t="s">
        <v>186</v>
      </c>
      <c r="F71" s="613"/>
      <c r="G71" s="41" t="s">
        <v>267</v>
      </c>
    </row>
    <row r="72" spans="1:7" ht="15" x14ac:dyDescent="0.2">
      <c r="A72" s="80" t="s">
        <v>268</v>
      </c>
      <c r="B72" s="102" t="s">
        <v>141</v>
      </c>
      <c r="C72" s="81" t="s">
        <v>126</v>
      </c>
      <c r="D72" s="81" t="s">
        <v>158</v>
      </c>
      <c r="E72" s="81" t="s">
        <v>269</v>
      </c>
      <c r="F72" s="613" t="s">
        <v>145</v>
      </c>
      <c r="G72" s="41" t="s">
        <v>270</v>
      </c>
    </row>
    <row r="73" spans="1:7" ht="28.5" x14ac:dyDescent="0.2">
      <c r="A73" s="80" t="s">
        <v>73</v>
      </c>
      <c r="B73" s="102" t="s">
        <v>156</v>
      </c>
      <c r="C73" s="81" t="s">
        <v>138</v>
      </c>
      <c r="D73" s="81" t="s">
        <v>138</v>
      </c>
      <c r="E73" s="81" t="s">
        <v>271</v>
      </c>
      <c r="F73" s="613"/>
      <c r="G73" s="41" t="s">
        <v>272</v>
      </c>
    </row>
    <row r="74" spans="1:7" ht="28.5" x14ac:dyDescent="0.2">
      <c r="A74" s="80" t="s">
        <v>273</v>
      </c>
      <c r="B74" s="102" t="s">
        <v>274</v>
      </c>
      <c r="C74" s="81" t="s">
        <v>126</v>
      </c>
      <c r="D74" s="81" t="s">
        <v>138</v>
      </c>
      <c r="E74" s="81" t="s">
        <v>275</v>
      </c>
      <c r="F74" s="613"/>
      <c r="G74" s="41" t="s">
        <v>276</v>
      </c>
    </row>
    <row r="75" spans="1:7" ht="15" x14ac:dyDescent="0.2">
      <c r="A75" s="80" t="s">
        <v>98</v>
      </c>
      <c r="B75" s="102" t="s">
        <v>274</v>
      </c>
      <c r="C75" s="81" t="s">
        <v>126</v>
      </c>
      <c r="D75" s="81" t="s">
        <v>138</v>
      </c>
      <c r="E75" s="81" t="s">
        <v>277</v>
      </c>
      <c r="F75" s="613"/>
      <c r="G75" s="41" t="s">
        <v>278</v>
      </c>
    </row>
    <row r="76" spans="1:7" ht="14.25" x14ac:dyDescent="0.2">
      <c r="A76" s="111" t="s">
        <v>279</v>
      </c>
      <c r="B76" s="111"/>
      <c r="C76" s="111"/>
      <c r="D76" s="121"/>
      <c r="E76" s="121"/>
      <c r="F76" s="112"/>
    </row>
    <row r="77" spans="1:7" ht="14.25" x14ac:dyDescent="0.2">
      <c r="A77" s="111" t="s">
        <v>280</v>
      </c>
      <c r="D77" s="122"/>
      <c r="E77" s="122"/>
      <c r="F77" s="112"/>
    </row>
  </sheetData>
  <sheetProtection password="CAEF" sheet="1" objects="1" scenarios="1"/>
  <mergeCells count="13">
    <mergeCell ref="H2:L3"/>
    <mergeCell ref="F72:F75"/>
    <mergeCell ref="A1:G1"/>
    <mergeCell ref="F7:F8"/>
    <mergeCell ref="F12:F13"/>
    <mergeCell ref="F14:F15"/>
    <mergeCell ref="F17:F26"/>
    <mergeCell ref="G29:G30"/>
    <mergeCell ref="G36:G37"/>
    <mergeCell ref="A43:G43"/>
    <mergeCell ref="F46:F48"/>
    <mergeCell ref="F67:F68"/>
    <mergeCell ref="F69:F71"/>
  </mergeCells>
  <hyperlinks>
    <hyperlink ref="H2:L3" location="Anleitung!A1" display="◄ ZURÜCK ZUR STARTSEITE / BEDIENUNGSANLEITUNG" xr:uid="{00000000-0004-0000-0800-000000000000}"/>
  </hyperlinks>
  <pageMargins left="0.23622047244094491" right="0.15748031496062992" top="0.19685039370078741" bottom="0.19685039370078741" header="0.15748031496062992" footer="0.15748031496062992"/>
  <pageSetup paperSize="9" scale="8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249977111117893"/>
    <pageSetUpPr fitToPage="1"/>
  </sheetPr>
  <dimension ref="A1:N130"/>
  <sheetViews>
    <sheetView showGridLines="0" showZeros="0" zoomScale="85" zoomScaleNormal="85" zoomScaleSheetLayoutView="100" workbookViewId="0">
      <pane ySplit="3" topLeftCell="A4" activePane="bottomLeft" state="frozen"/>
      <selection pane="bottomLeft" activeCell="A2" sqref="A2"/>
    </sheetView>
  </sheetViews>
  <sheetFormatPr baseColWidth="10" defaultRowHeight="15" x14ac:dyDescent="0.25"/>
  <cols>
    <col min="1" max="1" width="46.375" customWidth="1"/>
    <col min="2" max="2" width="27.875" style="35" customWidth="1"/>
    <col min="3" max="3" width="20.875" customWidth="1"/>
    <col min="4" max="4" width="20.125" customWidth="1"/>
    <col min="5" max="5" width="14.625" customWidth="1"/>
    <col min="7" max="7" width="14.25" customWidth="1"/>
    <col min="9" max="9" width="22" customWidth="1"/>
    <col min="10" max="10" width="11.5" customWidth="1"/>
    <col min="11" max="11" width="11.75" customWidth="1"/>
    <col min="12" max="12" width="17.375" customWidth="1"/>
    <col min="13" max="13" width="17" customWidth="1"/>
    <col min="14" max="14" width="15.625" customWidth="1"/>
  </cols>
  <sheetData>
    <row r="1" spans="1:14" ht="143.25" customHeight="1" thickBot="1" x14ac:dyDescent="0.25">
      <c r="A1" s="52" t="s">
        <v>647</v>
      </c>
      <c r="B1" s="1" t="s">
        <v>1054</v>
      </c>
      <c r="C1" s="2" t="s">
        <v>631</v>
      </c>
      <c r="D1" s="3"/>
      <c r="E1" s="431" t="s">
        <v>0</v>
      </c>
      <c r="F1" s="432"/>
      <c r="G1" s="432"/>
      <c r="H1" s="432"/>
      <c r="I1" s="123" t="str">
        <f>IF(OR($I$2="",$I$2=0),"bitte geben Sie HIER die
Begrünungsfläche in ha an","Fläche in ha")</f>
        <v>bitte geben Sie HIER die
Begrünungsfläche in ha an</v>
      </c>
      <c r="J1" s="4" t="s">
        <v>281</v>
      </c>
      <c r="K1" s="4" t="s">
        <v>429</v>
      </c>
      <c r="L1" s="5" t="s">
        <v>282</v>
      </c>
      <c r="M1" s="433" t="s">
        <v>1057</v>
      </c>
      <c r="N1" s="434"/>
    </row>
    <row r="2" spans="1:14" ht="46.5" customHeight="1" thickTop="1" thickBot="1" x14ac:dyDescent="0.25">
      <c r="A2" s="351" t="s">
        <v>538</v>
      </c>
      <c r="B2" s="241" t="s">
        <v>2</v>
      </c>
      <c r="C2" s="241" t="s">
        <v>533</v>
      </c>
      <c r="D2" s="242" t="s">
        <v>4</v>
      </c>
      <c r="E2" s="245" t="s">
        <v>5</v>
      </c>
      <c r="F2" s="243" t="s">
        <v>1</v>
      </c>
      <c r="G2" s="240" t="s">
        <v>285</v>
      </c>
      <c r="H2" s="244" t="s">
        <v>6</v>
      </c>
      <c r="I2" s="251"/>
      <c r="J2" s="271">
        <f>ROUND(SUM(E4:E66),2)</f>
        <v>0</v>
      </c>
      <c r="K2" s="12">
        <f>ROUND(SUM(F4:F66),1)</f>
        <v>0</v>
      </c>
      <c r="L2" s="13">
        <f>SUM(G4:G66)</f>
        <v>0</v>
      </c>
      <c r="M2" s="435"/>
      <c r="N2" s="436"/>
    </row>
    <row r="3" spans="1:14" ht="46.5" customHeight="1" thickTop="1" thickBot="1" x14ac:dyDescent="0.25">
      <c r="A3" s="248" t="s">
        <v>7</v>
      </c>
      <c r="B3" s="175"/>
      <c r="C3" s="175"/>
      <c r="D3" s="175"/>
      <c r="E3" s="178" t="s">
        <v>359</v>
      </c>
      <c r="F3" s="175"/>
      <c r="G3" s="175"/>
      <c r="H3" s="176"/>
      <c r="I3" s="184" t="s">
        <v>307</v>
      </c>
      <c r="J3" s="437" t="s">
        <v>437</v>
      </c>
      <c r="K3" s="438"/>
      <c r="L3" s="270" t="str">
        <f>IF('Zusammenfassung int. Prod.'!H4=0,"0 %",'Zusammenfassung int. Prod.'!H4)</f>
        <v/>
      </c>
      <c r="M3" s="451" t="str">
        <f>IF(AND(L3&gt;0.6,L3&lt;&gt;"0 %",J2&gt;0),"ACHTUNG Vorfruchtwirkung beachten: 
ungenutzte ZWF &gt; 60 % Leg.: 20 kg N
genutzte ZWF &gt; 60% Leg.: 10 kg N","")</f>
        <v/>
      </c>
      <c r="N3" s="452"/>
    </row>
    <row r="4" spans="1:14" ht="21.75" customHeight="1" thickBot="1" x14ac:dyDescent="0.25">
      <c r="A4" s="14" t="s">
        <v>62</v>
      </c>
      <c r="B4" s="53">
        <v>4.6100000000000003</v>
      </c>
      <c r="C4" s="54">
        <v>15</v>
      </c>
      <c r="D4" s="15">
        <f t="shared" ref="D4:D59" si="0">IF(ISERROR(C4*B4),0,C4*B4)</f>
        <v>69.150000000000006</v>
      </c>
      <c r="E4" s="67"/>
      <c r="F4" s="58">
        <f t="shared" ref="F4:F66" si="1">IF(ISERROR(E4*B4),0,(E4*B4))</f>
        <v>0</v>
      </c>
      <c r="G4" s="59">
        <f t="shared" ref="G4:G66" si="2">IF(ISERROR(E4/C4),0,(E4/C4))</f>
        <v>0</v>
      </c>
      <c r="H4" s="272">
        <f>IF(ISERROR(ROUND($I$2*E4,1)),0,ROUND($I$2*E4,1))</f>
        <v>0</v>
      </c>
      <c r="I4" s="255" t="s">
        <v>117</v>
      </c>
      <c r="J4" s="439" t="s">
        <v>475</v>
      </c>
      <c r="K4" s="440"/>
      <c r="L4" s="441"/>
    </row>
    <row r="5" spans="1:14" ht="21.75" customHeight="1" thickBot="1" x14ac:dyDescent="0.25">
      <c r="A5" s="14" t="s">
        <v>8</v>
      </c>
      <c r="B5" s="53">
        <f>(4.41+4.97)/2</f>
        <v>4.6899999999999995</v>
      </c>
      <c r="C5" s="54">
        <v>25</v>
      </c>
      <c r="D5" s="15">
        <f t="shared" ref="D5:D17" si="3">IF(ISERROR(C5*B5),0,C5*B5)</f>
        <v>117.24999999999999</v>
      </c>
      <c r="E5" s="67"/>
      <c r="F5" s="58">
        <f t="shared" si="1"/>
        <v>0</v>
      </c>
      <c r="G5" s="59">
        <f t="shared" si="2"/>
        <v>0</v>
      </c>
      <c r="H5" s="272">
        <f t="shared" ref="H5:H66" si="4">IF(ISERROR(ROUND($I$2*E5,1)),0,ROUND($I$2*E5,1))</f>
        <v>0</v>
      </c>
      <c r="I5" s="255" t="s">
        <v>312</v>
      </c>
      <c r="J5" s="442"/>
      <c r="K5" s="443"/>
      <c r="L5" s="444"/>
    </row>
    <row r="6" spans="1:14" ht="21.75" customHeight="1" thickBot="1" x14ac:dyDescent="0.25">
      <c r="A6" s="43" t="s">
        <v>64</v>
      </c>
      <c r="B6" s="53">
        <f>(3.04+3.32)/2</f>
        <v>3.1799999999999997</v>
      </c>
      <c r="C6" s="54">
        <v>25</v>
      </c>
      <c r="D6" s="15">
        <f t="shared" si="3"/>
        <v>79.5</v>
      </c>
      <c r="E6" s="62"/>
      <c r="F6" s="58">
        <f t="shared" si="1"/>
        <v>0</v>
      </c>
      <c r="G6" s="59">
        <f t="shared" si="2"/>
        <v>0</v>
      </c>
      <c r="H6" s="272">
        <f t="shared" si="4"/>
        <v>0</v>
      </c>
      <c r="I6" s="255" t="s">
        <v>159</v>
      </c>
      <c r="J6" s="415" t="str">
        <f>IF(L6="","Wirtschaftsdüngerart auswählen ►","genutzte Wirtschaftsdüngerart:")</f>
        <v>Wirtschaftsdüngerart auswählen ►</v>
      </c>
      <c r="K6" s="416"/>
      <c r="L6" s="419"/>
    </row>
    <row r="7" spans="1:14" ht="21.75" customHeight="1" thickBot="1" x14ac:dyDescent="0.25">
      <c r="A7" s="43" t="s">
        <v>554</v>
      </c>
      <c r="B7" s="53">
        <v>1.75</v>
      </c>
      <c r="C7" s="54">
        <v>170</v>
      </c>
      <c r="D7" s="15">
        <f t="shared" si="3"/>
        <v>297.5</v>
      </c>
      <c r="E7" s="62"/>
      <c r="F7" s="58">
        <f t="shared" si="1"/>
        <v>0</v>
      </c>
      <c r="G7" s="59">
        <f t="shared" si="2"/>
        <v>0</v>
      </c>
      <c r="H7" s="272">
        <f t="shared" si="4"/>
        <v>0</v>
      </c>
      <c r="I7" s="255" t="s">
        <v>312</v>
      </c>
      <c r="J7" s="417"/>
      <c r="K7" s="418"/>
      <c r="L7" s="420"/>
    </row>
    <row r="8" spans="1:14" ht="21.75" customHeight="1" thickBot="1" x14ac:dyDescent="0.25">
      <c r="A8" s="17" t="s">
        <v>644</v>
      </c>
      <c r="B8" s="53">
        <f>(1.79+1.87)/2</f>
        <v>1.83</v>
      </c>
      <c r="C8" s="54">
        <v>60</v>
      </c>
      <c r="D8" s="15">
        <f t="shared" si="3"/>
        <v>109.80000000000001</v>
      </c>
      <c r="E8" s="62"/>
      <c r="F8" s="58">
        <f t="shared" si="1"/>
        <v>0</v>
      </c>
      <c r="G8" s="59">
        <f t="shared" si="2"/>
        <v>0</v>
      </c>
      <c r="H8" s="272">
        <f t="shared" si="4"/>
        <v>0</v>
      </c>
      <c r="I8" s="255" t="s">
        <v>313</v>
      </c>
      <c r="J8" s="421" t="s">
        <v>630</v>
      </c>
      <c r="K8" s="422"/>
      <c r="L8" s="425" t="str">
        <f>IF(L6="",CONCATENATE('Konventionell (2)'!Z13," kg N ab Lager"),CONCATENATE('Konventionell (2)'!Z13," kg N ab Lager 
(",'Konventionell (2)'!AA13," kg N jw)",""))</f>
        <v>60 kg N ab Lager</v>
      </c>
    </row>
    <row r="9" spans="1:14" ht="21.75" customHeight="1" thickBot="1" x14ac:dyDescent="0.25">
      <c r="A9" s="24" t="s">
        <v>10</v>
      </c>
      <c r="B9" s="53">
        <f>(1.46+2.41)/2</f>
        <v>1.9350000000000001</v>
      </c>
      <c r="C9" s="54">
        <v>70</v>
      </c>
      <c r="D9" s="15">
        <f t="shared" si="3"/>
        <v>135.45000000000002</v>
      </c>
      <c r="E9" s="62"/>
      <c r="F9" s="58">
        <f t="shared" si="1"/>
        <v>0</v>
      </c>
      <c r="G9" s="59">
        <f t="shared" si="2"/>
        <v>0</v>
      </c>
      <c r="H9" s="272">
        <f t="shared" si="4"/>
        <v>0</v>
      </c>
      <c r="I9" s="255" t="s">
        <v>313</v>
      </c>
      <c r="J9" s="423"/>
      <c r="K9" s="424"/>
      <c r="L9" s="426"/>
    </row>
    <row r="10" spans="1:14" ht="21.75" customHeight="1" thickBot="1" x14ac:dyDescent="0.25">
      <c r="A10" s="24" t="s">
        <v>485</v>
      </c>
      <c r="B10" s="53">
        <f>(2.6+2.94)/2</f>
        <v>2.77</v>
      </c>
      <c r="C10" s="54">
        <v>40</v>
      </c>
      <c r="D10" s="15">
        <f t="shared" si="3"/>
        <v>110.8</v>
      </c>
      <c r="E10" s="62"/>
      <c r="F10" s="58">
        <f t="shared" si="1"/>
        <v>0</v>
      </c>
      <c r="G10" s="59">
        <f t="shared" si="2"/>
        <v>0</v>
      </c>
      <c r="H10" s="272">
        <f t="shared" si="4"/>
        <v>0</v>
      </c>
      <c r="I10" s="255" t="s">
        <v>159</v>
      </c>
      <c r="J10" s="427" t="s">
        <v>632</v>
      </c>
      <c r="K10" s="428"/>
      <c r="L10" s="425" t="str">
        <f>IF(L6="",CONCATENATE('Konventionell (2)'!Z12," kg N ab Lager"),CONCATENATE('Konventionell (2)'!Z12," kg N ab Lager 
(",'Konventionell (2)'!AA12," kg N jw)",""))</f>
        <v>60 kg N ab Lager</v>
      </c>
    </row>
    <row r="11" spans="1:14" ht="21.75" customHeight="1" thickBot="1" x14ac:dyDescent="0.25">
      <c r="A11" s="23" t="s">
        <v>685</v>
      </c>
      <c r="B11" s="53">
        <f>(3+3.93)/2</f>
        <v>3.4649999999999999</v>
      </c>
      <c r="C11" s="54">
        <v>25</v>
      </c>
      <c r="D11" s="15">
        <f t="shared" si="3"/>
        <v>86.625</v>
      </c>
      <c r="E11" s="62"/>
      <c r="F11" s="58">
        <f t="shared" si="1"/>
        <v>0</v>
      </c>
      <c r="G11" s="59">
        <f t="shared" si="2"/>
        <v>0</v>
      </c>
      <c r="H11" s="272">
        <f t="shared" si="4"/>
        <v>0</v>
      </c>
      <c r="I11" s="255" t="s">
        <v>159</v>
      </c>
      <c r="J11" s="429"/>
      <c r="K11" s="430"/>
      <c r="L11" s="426"/>
    </row>
    <row r="12" spans="1:14" ht="21.75" customHeight="1" thickBot="1" x14ac:dyDescent="0.25">
      <c r="A12" s="19" t="s">
        <v>66</v>
      </c>
      <c r="B12" s="53">
        <v>3.44</v>
      </c>
      <c r="C12" s="54">
        <v>180</v>
      </c>
      <c r="D12" s="15">
        <f t="shared" si="3"/>
        <v>619.20000000000005</v>
      </c>
      <c r="E12" s="62"/>
      <c r="F12" s="58">
        <f t="shared" si="1"/>
        <v>0</v>
      </c>
      <c r="G12" s="59">
        <f t="shared" si="2"/>
        <v>0</v>
      </c>
      <c r="H12" s="272">
        <f t="shared" si="4"/>
        <v>0</v>
      </c>
      <c r="I12" s="255" t="s">
        <v>312</v>
      </c>
      <c r="J12" s="445" t="str">
        <f>IFERROR(IF('Konventionell (2)'!Z7="langsam","",IF(OR('Konventionell (2)'!Z7="leicht",L6=""),"Herbstdüngegrenze von 60 kg N ab Lager ab der Ernte der letzten Hauptkultur beachten","")),"Herbstdüngegrenze von 60 kg N ab Lager ab der Ernte der letzten Hauptkultur beachten")</f>
        <v>Herbstdüngegrenze von 60 kg N ab Lager ab der Ernte der letzten Hauptkultur beachten</v>
      </c>
      <c r="K12" s="446"/>
      <c r="L12" s="447"/>
    </row>
    <row r="13" spans="1:14" ht="21.75" customHeight="1" thickBot="1" x14ac:dyDescent="0.25">
      <c r="A13" s="17" t="s">
        <v>13</v>
      </c>
      <c r="B13" s="53">
        <f>(1.21+2.01)/2</f>
        <v>1.6099999999999999</v>
      </c>
      <c r="C13" s="54">
        <v>160</v>
      </c>
      <c r="D13" s="15">
        <f t="shared" si="3"/>
        <v>257.59999999999997</v>
      </c>
      <c r="E13" s="62"/>
      <c r="F13" s="58">
        <f t="shared" si="1"/>
        <v>0</v>
      </c>
      <c r="G13" s="59">
        <f t="shared" si="2"/>
        <v>0</v>
      </c>
      <c r="H13" s="272">
        <f t="shared" si="4"/>
        <v>0</v>
      </c>
      <c r="I13" s="255" t="s">
        <v>312</v>
      </c>
      <c r="J13" s="448"/>
      <c r="K13" s="449"/>
      <c r="L13" s="450"/>
    </row>
    <row r="14" spans="1:14" ht="21.75" customHeight="1" thickBot="1" x14ac:dyDescent="0.25">
      <c r="A14" s="17" t="s">
        <v>67</v>
      </c>
      <c r="B14" s="53">
        <v>13.53</v>
      </c>
      <c r="C14" s="54">
        <v>3</v>
      </c>
      <c r="D14" s="15">
        <f t="shared" si="3"/>
        <v>40.589999999999996</v>
      </c>
      <c r="E14" s="62"/>
      <c r="F14" s="58">
        <f t="shared" si="1"/>
        <v>0</v>
      </c>
      <c r="G14" s="59">
        <f t="shared" si="2"/>
        <v>0</v>
      </c>
      <c r="H14" s="272">
        <f t="shared" si="4"/>
        <v>0</v>
      </c>
      <c r="I14" s="256" t="s">
        <v>117</v>
      </c>
    </row>
    <row r="15" spans="1:14" ht="21.75" customHeight="1" thickBot="1" x14ac:dyDescent="0.25">
      <c r="A15" s="20" t="s">
        <v>14</v>
      </c>
      <c r="B15" s="53">
        <f>(9.38+10.78)/2</f>
        <v>10.08</v>
      </c>
      <c r="C15" s="54">
        <v>30</v>
      </c>
      <c r="D15" s="15">
        <f t="shared" si="3"/>
        <v>302.39999999999998</v>
      </c>
      <c r="E15" s="62"/>
      <c r="F15" s="58">
        <f t="shared" si="1"/>
        <v>0</v>
      </c>
      <c r="G15" s="59">
        <f t="shared" si="2"/>
        <v>0</v>
      </c>
      <c r="H15" s="272">
        <f t="shared" si="4"/>
        <v>0</v>
      </c>
      <c r="I15" s="255" t="s">
        <v>312</v>
      </c>
    </row>
    <row r="16" spans="1:14" ht="21.75" customHeight="1" thickBot="1" x14ac:dyDescent="0.25">
      <c r="A16" s="20" t="s">
        <v>15</v>
      </c>
      <c r="B16" s="53">
        <v>2.29</v>
      </c>
      <c r="C16" s="54">
        <v>150</v>
      </c>
      <c r="D16" s="15">
        <f t="shared" si="3"/>
        <v>343.5</v>
      </c>
      <c r="E16" s="62"/>
      <c r="F16" s="58">
        <f t="shared" si="1"/>
        <v>0</v>
      </c>
      <c r="G16" s="59">
        <f t="shared" si="2"/>
        <v>0</v>
      </c>
      <c r="H16" s="272">
        <f t="shared" si="4"/>
        <v>0</v>
      </c>
      <c r="I16" s="255" t="s">
        <v>159</v>
      </c>
    </row>
    <row r="17" spans="1:10" ht="21.75" customHeight="1" thickBot="1" x14ac:dyDescent="0.25">
      <c r="A17" s="20" t="s">
        <v>645</v>
      </c>
      <c r="B17" s="53">
        <v>11.77</v>
      </c>
      <c r="C17" s="54">
        <v>70</v>
      </c>
      <c r="D17" s="336">
        <f t="shared" si="3"/>
        <v>823.9</v>
      </c>
      <c r="E17" s="62"/>
      <c r="F17" s="58">
        <f t="shared" si="1"/>
        <v>0</v>
      </c>
      <c r="G17" s="59">
        <f t="shared" si="2"/>
        <v>0</v>
      </c>
      <c r="H17" s="272">
        <f t="shared" si="4"/>
        <v>0</v>
      </c>
      <c r="I17" s="256" t="s">
        <v>159</v>
      </c>
      <c r="J17" s="169"/>
    </row>
    <row r="18" spans="1:10" ht="21.75" customHeight="1" thickBot="1" x14ac:dyDescent="0.25">
      <c r="A18" s="17" t="s">
        <v>68</v>
      </c>
      <c r="B18" s="53">
        <v>21.92</v>
      </c>
      <c r="C18" s="54">
        <v>2</v>
      </c>
      <c r="D18" s="15">
        <f t="shared" si="0"/>
        <v>43.84</v>
      </c>
      <c r="E18" s="62"/>
      <c r="F18" s="58">
        <f t="shared" si="1"/>
        <v>0</v>
      </c>
      <c r="G18" s="59">
        <f t="shared" si="2"/>
        <v>0</v>
      </c>
      <c r="H18" s="272">
        <f t="shared" si="4"/>
        <v>0</v>
      </c>
      <c r="I18" s="255" t="s">
        <v>117</v>
      </c>
    </row>
    <row r="19" spans="1:10" ht="21.75" customHeight="1" thickBot="1" x14ac:dyDescent="0.25">
      <c r="A19" s="17" t="s">
        <v>69</v>
      </c>
      <c r="B19" s="53">
        <f>(4.62+4.99)/2</f>
        <v>4.8049999999999997</v>
      </c>
      <c r="C19" s="54">
        <v>15</v>
      </c>
      <c r="D19" s="15">
        <f t="shared" si="0"/>
        <v>72.074999999999989</v>
      </c>
      <c r="E19" s="62"/>
      <c r="F19" s="58">
        <f t="shared" si="1"/>
        <v>0</v>
      </c>
      <c r="G19" s="59">
        <f t="shared" si="2"/>
        <v>0</v>
      </c>
      <c r="H19" s="272">
        <f t="shared" si="4"/>
        <v>0</v>
      </c>
      <c r="I19" s="255" t="s">
        <v>159</v>
      </c>
    </row>
    <row r="20" spans="1:10" ht="21.75" customHeight="1" thickBot="1" x14ac:dyDescent="0.25">
      <c r="A20" s="17" t="s">
        <v>70</v>
      </c>
      <c r="B20" s="53">
        <f>(12.63+16.62)/2</f>
        <v>14.625</v>
      </c>
      <c r="C20" s="54">
        <v>20</v>
      </c>
      <c r="D20" s="15">
        <f t="shared" si="0"/>
        <v>292.5</v>
      </c>
      <c r="E20" s="62"/>
      <c r="F20" s="58">
        <f t="shared" si="1"/>
        <v>0</v>
      </c>
      <c r="G20" s="59">
        <f t="shared" si="2"/>
        <v>0</v>
      </c>
      <c r="H20" s="272">
        <f t="shared" si="4"/>
        <v>0</v>
      </c>
      <c r="I20" s="255" t="s">
        <v>312</v>
      </c>
    </row>
    <row r="21" spans="1:10" ht="21.75" customHeight="1" thickBot="1" x14ac:dyDescent="0.25">
      <c r="A21" s="17" t="s">
        <v>16</v>
      </c>
      <c r="B21" s="53">
        <f>(3.32+3.39)/2</f>
        <v>3.355</v>
      </c>
      <c r="C21" s="54">
        <v>30</v>
      </c>
      <c r="D21" s="15">
        <f t="shared" si="0"/>
        <v>100.65</v>
      </c>
      <c r="E21" s="62"/>
      <c r="F21" s="58">
        <f t="shared" si="1"/>
        <v>0</v>
      </c>
      <c r="G21" s="59">
        <f t="shared" si="2"/>
        <v>0</v>
      </c>
      <c r="H21" s="272">
        <f t="shared" si="4"/>
        <v>0</v>
      </c>
      <c r="I21" s="255" t="s">
        <v>312</v>
      </c>
    </row>
    <row r="22" spans="1:10" ht="21.75" customHeight="1" thickBot="1" x14ac:dyDescent="0.25">
      <c r="A22" s="17" t="s">
        <v>185</v>
      </c>
      <c r="B22" s="53">
        <v>2.57</v>
      </c>
      <c r="C22" s="54">
        <v>40</v>
      </c>
      <c r="D22" s="15">
        <f t="shared" si="0"/>
        <v>102.8</v>
      </c>
      <c r="E22" s="62"/>
      <c r="F22" s="58">
        <f t="shared" si="1"/>
        <v>0</v>
      </c>
      <c r="G22" s="59">
        <f t="shared" si="2"/>
        <v>0</v>
      </c>
      <c r="H22" s="272">
        <f t="shared" si="4"/>
        <v>0</v>
      </c>
      <c r="I22" s="255" t="s">
        <v>159</v>
      </c>
    </row>
    <row r="23" spans="1:10" ht="21.75" customHeight="1" thickBot="1" x14ac:dyDescent="0.25">
      <c r="A23" s="18" t="s">
        <v>378</v>
      </c>
      <c r="B23" s="53">
        <v>4.53</v>
      </c>
      <c r="C23" s="54">
        <v>10</v>
      </c>
      <c r="D23" s="15">
        <f t="shared" si="0"/>
        <v>45.300000000000004</v>
      </c>
      <c r="E23" s="62"/>
      <c r="F23" s="58">
        <f t="shared" si="1"/>
        <v>0</v>
      </c>
      <c r="G23" s="59">
        <f t="shared" si="2"/>
        <v>0</v>
      </c>
      <c r="H23" s="272">
        <f t="shared" si="4"/>
        <v>0</v>
      </c>
      <c r="I23" s="255" t="s">
        <v>117</v>
      </c>
    </row>
    <row r="24" spans="1:10" ht="21.75" customHeight="1" thickBot="1" x14ac:dyDescent="0.25">
      <c r="A24" s="20" t="s">
        <v>486</v>
      </c>
      <c r="B24" s="53">
        <v>3.2</v>
      </c>
      <c r="C24" s="54">
        <v>30</v>
      </c>
      <c r="D24" s="15">
        <f t="shared" si="0"/>
        <v>96</v>
      </c>
      <c r="E24" s="62"/>
      <c r="F24" s="58">
        <f t="shared" si="1"/>
        <v>0</v>
      </c>
      <c r="G24" s="59">
        <f t="shared" si="2"/>
        <v>0</v>
      </c>
      <c r="H24" s="272">
        <f t="shared" si="4"/>
        <v>0</v>
      </c>
      <c r="I24" s="255" t="s">
        <v>312</v>
      </c>
    </row>
    <row r="25" spans="1:10" ht="21.75" customHeight="1" thickBot="1" x14ac:dyDescent="0.25">
      <c r="A25" s="22" t="s">
        <v>558</v>
      </c>
      <c r="B25" s="53">
        <v>12.05</v>
      </c>
      <c r="C25" s="54">
        <v>12</v>
      </c>
      <c r="D25" s="15">
        <f t="shared" si="0"/>
        <v>144.60000000000002</v>
      </c>
      <c r="E25" s="62"/>
      <c r="F25" s="58">
        <f t="shared" si="1"/>
        <v>0</v>
      </c>
      <c r="G25" s="59">
        <f t="shared" si="2"/>
        <v>0</v>
      </c>
      <c r="H25" s="272">
        <f t="shared" si="4"/>
        <v>0</v>
      </c>
      <c r="I25" s="255" t="s">
        <v>316</v>
      </c>
    </row>
    <row r="26" spans="1:10" ht="21.75" customHeight="1" thickBot="1" x14ac:dyDescent="0.25">
      <c r="A26" s="23" t="s">
        <v>19</v>
      </c>
      <c r="B26" s="53">
        <f>(6.06+6.93)/2</f>
        <v>6.4949999999999992</v>
      </c>
      <c r="C26" s="54">
        <v>10</v>
      </c>
      <c r="D26" s="15">
        <f t="shared" si="0"/>
        <v>64.949999999999989</v>
      </c>
      <c r="E26" s="62"/>
      <c r="F26" s="58">
        <f t="shared" si="1"/>
        <v>0</v>
      </c>
      <c r="G26" s="59">
        <f t="shared" si="2"/>
        <v>0</v>
      </c>
      <c r="H26" s="272">
        <f t="shared" si="4"/>
        <v>0</v>
      </c>
      <c r="I26" s="255" t="s">
        <v>117</v>
      </c>
    </row>
    <row r="27" spans="1:10" ht="21.75" customHeight="1" thickBot="1" x14ac:dyDescent="0.25">
      <c r="A27" s="23" t="s">
        <v>441</v>
      </c>
      <c r="B27" s="53">
        <v>3.26</v>
      </c>
      <c r="C27" s="54">
        <v>80</v>
      </c>
      <c r="D27" s="15">
        <f t="shared" si="0"/>
        <v>260.79999999999995</v>
      </c>
      <c r="E27" s="62"/>
      <c r="F27" s="58">
        <f t="shared" si="1"/>
        <v>0</v>
      </c>
      <c r="G27" s="59">
        <f t="shared" si="2"/>
        <v>0</v>
      </c>
      <c r="H27" s="272">
        <f t="shared" si="4"/>
        <v>0</v>
      </c>
      <c r="I27" s="255" t="s">
        <v>312</v>
      </c>
    </row>
    <row r="28" spans="1:10" ht="40.5" customHeight="1" thickBot="1" x14ac:dyDescent="0.25">
      <c r="A28" s="17" t="s">
        <v>21</v>
      </c>
      <c r="B28" s="53">
        <f>(8.81+9.89)/2</f>
        <v>9.3500000000000014</v>
      </c>
      <c r="C28" s="54">
        <v>25</v>
      </c>
      <c r="D28" s="15">
        <f t="shared" si="0"/>
        <v>233.75000000000003</v>
      </c>
      <c r="E28" s="62"/>
      <c r="F28" s="58">
        <f t="shared" si="1"/>
        <v>0</v>
      </c>
      <c r="G28" s="59">
        <f t="shared" si="2"/>
        <v>0</v>
      </c>
      <c r="H28" s="272">
        <f t="shared" si="4"/>
        <v>0</v>
      </c>
      <c r="I28" s="255" t="s">
        <v>312</v>
      </c>
    </row>
    <row r="29" spans="1:10" ht="31.5" customHeight="1" thickBot="1" x14ac:dyDescent="0.25">
      <c r="A29" s="20" t="s">
        <v>23</v>
      </c>
      <c r="B29" s="53">
        <f>(6.81+8.7)/2</f>
        <v>7.754999999999999</v>
      </c>
      <c r="C29" s="54">
        <v>7</v>
      </c>
      <c r="D29" s="15">
        <f t="shared" si="0"/>
        <v>54.284999999999997</v>
      </c>
      <c r="E29" s="62"/>
      <c r="F29" s="58">
        <f t="shared" si="1"/>
        <v>0</v>
      </c>
      <c r="G29" s="59">
        <f t="shared" si="2"/>
        <v>0</v>
      </c>
      <c r="H29" s="272">
        <f t="shared" si="4"/>
        <v>0</v>
      </c>
      <c r="I29" s="255" t="s">
        <v>117</v>
      </c>
    </row>
    <row r="30" spans="1:10" ht="31.5" customHeight="1" thickBot="1" x14ac:dyDescent="0.25">
      <c r="A30" s="17" t="s">
        <v>637</v>
      </c>
      <c r="B30" s="53">
        <f>(4.03+4.18)/2</f>
        <v>4.1050000000000004</v>
      </c>
      <c r="C30" s="54">
        <v>10</v>
      </c>
      <c r="D30" s="15">
        <f t="shared" si="0"/>
        <v>41.050000000000004</v>
      </c>
      <c r="E30" s="62"/>
      <c r="F30" s="58">
        <f t="shared" si="1"/>
        <v>0</v>
      </c>
      <c r="G30" s="59">
        <f t="shared" si="2"/>
        <v>0</v>
      </c>
      <c r="H30" s="272">
        <f t="shared" si="4"/>
        <v>0</v>
      </c>
      <c r="I30" s="255" t="s">
        <v>314</v>
      </c>
    </row>
    <row r="31" spans="1:10" ht="21.75" customHeight="1" thickBot="1" x14ac:dyDescent="0.25">
      <c r="A31" s="24" t="s">
        <v>483</v>
      </c>
      <c r="B31" s="53">
        <v>3.74</v>
      </c>
      <c r="C31" s="54">
        <v>30</v>
      </c>
      <c r="D31" s="15">
        <f t="shared" si="0"/>
        <v>112.2</v>
      </c>
      <c r="E31" s="62"/>
      <c r="F31" s="58">
        <f t="shared" si="1"/>
        <v>0</v>
      </c>
      <c r="G31" s="59">
        <f t="shared" si="2"/>
        <v>0</v>
      </c>
      <c r="H31" s="272">
        <f t="shared" si="4"/>
        <v>0</v>
      </c>
      <c r="I31" s="255" t="s">
        <v>357</v>
      </c>
    </row>
    <row r="32" spans="1:10" ht="21.75" customHeight="1" thickBot="1" x14ac:dyDescent="0.25">
      <c r="A32" s="24" t="s">
        <v>24</v>
      </c>
      <c r="B32" s="53">
        <f>(3.07+3.66)/2</f>
        <v>3.3650000000000002</v>
      </c>
      <c r="C32" s="54">
        <v>20</v>
      </c>
      <c r="D32" s="15">
        <f t="shared" si="0"/>
        <v>67.300000000000011</v>
      </c>
      <c r="E32" s="62"/>
      <c r="F32" s="58">
        <f t="shared" si="1"/>
        <v>0</v>
      </c>
      <c r="G32" s="59">
        <f t="shared" si="2"/>
        <v>0</v>
      </c>
      <c r="H32" s="272">
        <f t="shared" si="4"/>
        <v>0</v>
      </c>
      <c r="I32" s="255" t="s">
        <v>117</v>
      </c>
    </row>
    <row r="33" spans="1:9" ht="21.75" customHeight="1" thickBot="1" x14ac:dyDescent="0.25">
      <c r="A33" s="24" t="s">
        <v>91</v>
      </c>
      <c r="B33" s="53">
        <f>(3.47+4.45)/2</f>
        <v>3.96</v>
      </c>
      <c r="C33" s="54">
        <v>25</v>
      </c>
      <c r="D33" s="15">
        <f t="shared" si="0"/>
        <v>99</v>
      </c>
      <c r="E33" s="62"/>
      <c r="F33" s="58">
        <f t="shared" si="1"/>
        <v>0</v>
      </c>
      <c r="G33" s="59">
        <f t="shared" si="2"/>
        <v>0</v>
      </c>
      <c r="H33" s="272">
        <f t="shared" si="4"/>
        <v>0</v>
      </c>
      <c r="I33" s="255" t="s">
        <v>117</v>
      </c>
    </row>
    <row r="34" spans="1:9" ht="21.75" customHeight="1" thickBot="1" x14ac:dyDescent="0.25">
      <c r="A34" s="20" t="s">
        <v>25</v>
      </c>
      <c r="B34" s="53">
        <v>6.99</v>
      </c>
      <c r="C34" s="54">
        <v>20</v>
      </c>
      <c r="D34" s="15">
        <f t="shared" si="0"/>
        <v>139.80000000000001</v>
      </c>
      <c r="E34" s="62"/>
      <c r="F34" s="58">
        <f t="shared" si="1"/>
        <v>0</v>
      </c>
      <c r="G34" s="59">
        <f t="shared" si="2"/>
        <v>0</v>
      </c>
      <c r="H34" s="272">
        <f t="shared" si="4"/>
        <v>0</v>
      </c>
      <c r="I34" s="255" t="s">
        <v>312</v>
      </c>
    </row>
    <row r="35" spans="1:9" ht="21.75" customHeight="1" thickBot="1" x14ac:dyDescent="0.25">
      <c r="A35" s="20" t="s">
        <v>646</v>
      </c>
      <c r="B35" s="53">
        <f>(6.99+8.02)/2</f>
        <v>7.5049999999999999</v>
      </c>
      <c r="C35" s="54">
        <v>12</v>
      </c>
      <c r="D35" s="15">
        <f t="shared" si="0"/>
        <v>90.06</v>
      </c>
      <c r="E35" s="62"/>
      <c r="F35" s="58">
        <f t="shared" si="1"/>
        <v>0</v>
      </c>
      <c r="G35" s="59">
        <f t="shared" si="2"/>
        <v>0</v>
      </c>
      <c r="H35" s="272">
        <f t="shared" si="4"/>
        <v>0</v>
      </c>
      <c r="I35" s="255" t="s">
        <v>315</v>
      </c>
    </row>
    <row r="36" spans="1:9" ht="21.75" customHeight="1" thickBot="1" x14ac:dyDescent="0.25">
      <c r="A36" s="20" t="s">
        <v>27</v>
      </c>
      <c r="B36" s="53">
        <v>2.42</v>
      </c>
      <c r="C36" s="54">
        <v>140</v>
      </c>
      <c r="D36" s="15">
        <f t="shared" si="0"/>
        <v>338.8</v>
      </c>
      <c r="E36" s="62"/>
      <c r="F36" s="58">
        <f t="shared" si="1"/>
        <v>0</v>
      </c>
      <c r="G36" s="59">
        <f t="shared" si="2"/>
        <v>0</v>
      </c>
      <c r="H36" s="272">
        <f t="shared" si="4"/>
        <v>0</v>
      </c>
      <c r="I36" s="255" t="s">
        <v>312</v>
      </c>
    </row>
    <row r="37" spans="1:9" ht="21.75" customHeight="1" thickBot="1" x14ac:dyDescent="0.25">
      <c r="A37" s="20" t="s">
        <v>219</v>
      </c>
      <c r="B37" s="53">
        <f>(13.02+26.8)/2</f>
        <v>19.91</v>
      </c>
      <c r="C37" s="54">
        <v>10</v>
      </c>
      <c r="D37" s="15">
        <f t="shared" si="0"/>
        <v>199.1</v>
      </c>
      <c r="E37" s="62"/>
      <c r="F37" s="58">
        <f t="shared" si="1"/>
        <v>0</v>
      </c>
      <c r="G37" s="59">
        <f t="shared" si="2"/>
        <v>0</v>
      </c>
      <c r="H37" s="272">
        <f t="shared" si="4"/>
        <v>0</v>
      </c>
      <c r="I37" s="255" t="s">
        <v>314</v>
      </c>
    </row>
    <row r="38" spans="1:9" ht="21.75" customHeight="1" thickBot="1" x14ac:dyDescent="0.25">
      <c r="A38" s="46" t="s">
        <v>30</v>
      </c>
      <c r="B38" s="53">
        <f>(8.12+8.52)/2</f>
        <v>8.32</v>
      </c>
      <c r="C38" s="54">
        <v>25</v>
      </c>
      <c r="D38" s="15">
        <f t="shared" si="0"/>
        <v>208</v>
      </c>
      <c r="E38" s="62"/>
      <c r="F38" s="58">
        <f t="shared" si="1"/>
        <v>0</v>
      </c>
      <c r="G38" s="59">
        <f t="shared" si="2"/>
        <v>0</v>
      </c>
      <c r="H38" s="272">
        <f t="shared" si="4"/>
        <v>0</v>
      </c>
      <c r="I38" s="255" t="s">
        <v>312</v>
      </c>
    </row>
    <row r="39" spans="1:9" ht="21.75" customHeight="1" thickBot="1" x14ac:dyDescent="0.25">
      <c r="A39" s="47" t="s">
        <v>73</v>
      </c>
      <c r="B39" s="53">
        <v>2.13</v>
      </c>
      <c r="C39" s="54">
        <v>110</v>
      </c>
      <c r="D39" s="15">
        <f t="shared" si="0"/>
        <v>234.29999999999998</v>
      </c>
      <c r="E39" s="62"/>
      <c r="F39" s="58">
        <f t="shared" si="1"/>
        <v>0</v>
      </c>
      <c r="G39" s="59">
        <f t="shared" si="2"/>
        <v>0</v>
      </c>
      <c r="H39" s="272">
        <f t="shared" si="4"/>
        <v>0</v>
      </c>
      <c r="I39" s="255" t="s">
        <v>312</v>
      </c>
    </row>
    <row r="40" spans="1:9" ht="21.75" customHeight="1" thickBot="1" x14ac:dyDescent="0.25">
      <c r="A40" s="47" t="s">
        <v>686</v>
      </c>
      <c r="B40" s="53">
        <f>(2.24+2.47)/2</f>
        <v>2.3550000000000004</v>
      </c>
      <c r="C40" s="54">
        <v>115</v>
      </c>
      <c r="D40" s="15">
        <f t="shared" si="0"/>
        <v>270.82500000000005</v>
      </c>
      <c r="E40" s="62"/>
      <c r="F40" s="58">
        <f t="shared" si="1"/>
        <v>0</v>
      </c>
      <c r="G40" s="59">
        <f t="shared" si="2"/>
        <v>0</v>
      </c>
      <c r="H40" s="272">
        <f t="shared" si="4"/>
        <v>0</v>
      </c>
      <c r="I40" s="255" t="s">
        <v>312</v>
      </c>
    </row>
    <row r="41" spans="1:9" ht="21.75" customHeight="1" thickBot="1" x14ac:dyDescent="0.25">
      <c r="A41" s="20" t="s">
        <v>92</v>
      </c>
      <c r="B41" s="53">
        <v>5.72</v>
      </c>
      <c r="C41" s="54">
        <v>30</v>
      </c>
      <c r="D41" s="15">
        <f t="shared" si="0"/>
        <v>171.6</v>
      </c>
      <c r="E41" s="62"/>
      <c r="F41" s="58">
        <f t="shared" si="1"/>
        <v>0</v>
      </c>
      <c r="G41" s="59">
        <f t="shared" si="2"/>
        <v>0</v>
      </c>
      <c r="H41" s="272">
        <f t="shared" si="4"/>
        <v>0</v>
      </c>
      <c r="I41" s="255" t="s">
        <v>117</v>
      </c>
    </row>
    <row r="42" spans="1:9" ht="21.75" customHeight="1" thickBot="1" x14ac:dyDescent="0.25">
      <c r="A42" s="20" t="s">
        <v>481</v>
      </c>
      <c r="B42" s="53">
        <v>2.02</v>
      </c>
      <c r="C42" s="54">
        <v>80</v>
      </c>
      <c r="D42" s="15">
        <f t="shared" si="0"/>
        <v>161.6</v>
      </c>
      <c r="E42" s="62"/>
      <c r="F42" s="58">
        <f t="shared" si="1"/>
        <v>0</v>
      </c>
      <c r="G42" s="59">
        <f t="shared" si="2"/>
        <v>0</v>
      </c>
      <c r="H42" s="272">
        <f t="shared" si="4"/>
        <v>0</v>
      </c>
      <c r="I42" s="255" t="s">
        <v>159</v>
      </c>
    </row>
    <row r="43" spans="1:9" ht="21.75" customHeight="1" thickBot="1" x14ac:dyDescent="0.25">
      <c r="A43" s="20" t="s">
        <v>1059</v>
      </c>
      <c r="B43" s="53">
        <v>5.95</v>
      </c>
      <c r="C43" s="54">
        <v>10</v>
      </c>
      <c r="D43" s="15">
        <f t="shared" si="0"/>
        <v>59.5</v>
      </c>
      <c r="E43" s="62"/>
      <c r="F43" s="58">
        <f t="shared" si="1"/>
        <v>0</v>
      </c>
      <c r="G43" s="59">
        <f t="shared" si="2"/>
        <v>0</v>
      </c>
      <c r="H43" s="272">
        <f t="shared" si="4"/>
        <v>0</v>
      </c>
      <c r="I43" s="255" t="s">
        <v>117</v>
      </c>
    </row>
    <row r="44" spans="1:9" ht="21.75" customHeight="1" thickBot="1" x14ac:dyDescent="0.25">
      <c r="A44" s="17" t="s">
        <v>33</v>
      </c>
      <c r="B44" s="53">
        <f>(10.78+14.64)/2</f>
        <v>12.71</v>
      </c>
      <c r="C44" s="54">
        <v>20</v>
      </c>
      <c r="D44" s="15">
        <f t="shared" si="0"/>
        <v>254.20000000000002</v>
      </c>
      <c r="E44" s="62"/>
      <c r="F44" s="58">
        <f t="shared" si="1"/>
        <v>0</v>
      </c>
      <c r="G44" s="59">
        <f t="shared" si="2"/>
        <v>0</v>
      </c>
      <c r="H44" s="272">
        <f t="shared" si="4"/>
        <v>0</v>
      </c>
      <c r="I44" s="255" t="s">
        <v>312</v>
      </c>
    </row>
    <row r="45" spans="1:9" ht="21.75" customHeight="1" thickBot="1" x14ac:dyDescent="0.25">
      <c r="A45" s="17" t="s">
        <v>34</v>
      </c>
      <c r="B45" s="53">
        <f>(2.63+3.42)/2</f>
        <v>3.0249999999999999</v>
      </c>
      <c r="C45" s="54">
        <v>15</v>
      </c>
      <c r="D45" s="15">
        <f t="shared" si="0"/>
        <v>45.375</v>
      </c>
      <c r="E45" s="62"/>
      <c r="F45" s="58">
        <f t="shared" si="1"/>
        <v>0</v>
      </c>
      <c r="G45" s="59">
        <f t="shared" si="2"/>
        <v>0</v>
      </c>
      <c r="H45" s="272">
        <f t="shared" si="4"/>
        <v>0</v>
      </c>
      <c r="I45" s="255" t="s">
        <v>117</v>
      </c>
    </row>
    <row r="46" spans="1:9" ht="21.75" customHeight="1" thickBot="1" x14ac:dyDescent="0.25">
      <c r="A46" s="24" t="s">
        <v>648</v>
      </c>
      <c r="B46" s="53">
        <f>(3.42+3.69)/2</f>
        <v>3.5549999999999997</v>
      </c>
      <c r="C46" s="54">
        <v>20</v>
      </c>
      <c r="D46" s="15">
        <f t="shared" si="0"/>
        <v>71.099999999999994</v>
      </c>
      <c r="E46" s="62"/>
      <c r="F46" s="58">
        <f t="shared" si="1"/>
        <v>0</v>
      </c>
      <c r="G46" s="59">
        <f t="shared" si="2"/>
        <v>0</v>
      </c>
      <c r="H46" s="272">
        <f t="shared" si="4"/>
        <v>0</v>
      </c>
      <c r="I46" s="255" t="s">
        <v>117</v>
      </c>
    </row>
    <row r="47" spans="1:9" ht="21.75" customHeight="1" thickBot="1" x14ac:dyDescent="0.25">
      <c r="A47" s="20" t="s">
        <v>36</v>
      </c>
      <c r="B47" s="53">
        <f>(2.4+5.39)/2</f>
        <v>3.8949999999999996</v>
      </c>
      <c r="C47" s="54">
        <v>15</v>
      </c>
      <c r="D47" s="15">
        <f t="shared" si="0"/>
        <v>58.424999999999997</v>
      </c>
      <c r="E47" s="62"/>
      <c r="F47" s="58">
        <f t="shared" si="1"/>
        <v>0</v>
      </c>
      <c r="G47" s="59">
        <f t="shared" si="2"/>
        <v>0</v>
      </c>
      <c r="H47" s="272">
        <f t="shared" si="4"/>
        <v>0</v>
      </c>
      <c r="I47" s="255" t="s">
        <v>117</v>
      </c>
    </row>
    <row r="48" spans="1:9" ht="21.75" customHeight="1" thickBot="1" x14ac:dyDescent="0.25">
      <c r="A48" s="24" t="s">
        <v>214</v>
      </c>
      <c r="B48" s="53">
        <v>5</v>
      </c>
      <c r="C48" s="54">
        <v>6</v>
      </c>
      <c r="D48" s="15">
        <f t="shared" si="0"/>
        <v>30</v>
      </c>
      <c r="E48" s="62"/>
      <c r="F48" s="58">
        <f t="shared" si="1"/>
        <v>0</v>
      </c>
      <c r="G48" s="59">
        <f t="shared" si="2"/>
        <v>0</v>
      </c>
      <c r="H48" s="272">
        <f t="shared" si="4"/>
        <v>0</v>
      </c>
      <c r="I48" s="255" t="s">
        <v>314</v>
      </c>
    </row>
    <row r="49" spans="1:14" ht="21.75" customHeight="1" thickBot="1" x14ac:dyDescent="0.25">
      <c r="A49" s="17" t="s">
        <v>380</v>
      </c>
      <c r="B49" s="53">
        <v>21.52</v>
      </c>
      <c r="C49" s="54">
        <v>20</v>
      </c>
      <c r="D49" s="15">
        <f t="shared" si="0"/>
        <v>430.4</v>
      </c>
      <c r="E49" s="62"/>
      <c r="F49" s="58">
        <f t="shared" si="1"/>
        <v>0</v>
      </c>
      <c r="G49" s="59">
        <f t="shared" si="2"/>
        <v>0</v>
      </c>
      <c r="H49" s="272">
        <f t="shared" si="4"/>
        <v>0</v>
      </c>
      <c r="I49" s="255" t="s">
        <v>427</v>
      </c>
    </row>
    <row r="50" spans="1:14" ht="21.75" customHeight="1" thickBot="1" x14ac:dyDescent="0.25">
      <c r="A50" s="17" t="s">
        <v>443</v>
      </c>
      <c r="B50" s="53">
        <v>6.26</v>
      </c>
      <c r="C50" s="54">
        <v>25</v>
      </c>
      <c r="D50" s="15">
        <f t="shared" si="0"/>
        <v>156.5</v>
      </c>
      <c r="E50" s="62"/>
      <c r="F50" s="58">
        <f t="shared" si="1"/>
        <v>0</v>
      </c>
      <c r="G50" s="59">
        <f t="shared" si="2"/>
        <v>0</v>
      </c>
      <c r="H50" s="272">
        <f t="shared" si="4"/>
        <v>0</v>
      </c>
      <c r="I50" s="255" t="s">
        <v>312</v>
      </c>
    </row>
    <row r="51" spans="1:14" ht="21.75" customHeight="1" thickBot="1" x14ac:dyDescent="0.25">
      <c r="A51" s="17" t="s">
        <v>37</v>
      </c>
      <c r="B51" s="53">
        <f>(2.86+3.45)/2</f>
        <v>3.1550000000000002</v>
      </c>
      <c r="C51" s="54">
        <v>25</v>
      </c>
      <c r="D51" s="15">
        <f t="shared" si="0"/>
        <v>78.875</v>
      </c>
      <c r="E51" s="62"/>
      <c r="F51" s="58">
        <f t="shared" si="1"/>
        <v>0</v>
      </c>
      <c r="G51" s="59">
        <f t="shared" si="2"/>
        <v>0</v>
      </c>
      <c r="H51" s="272">
        <f t="shared" si="4"/>
        <v>0</v>
      </c>
      <c r="I51" s="255" t="s">
        <v>159</v>
      </c>
    </row>
    <row r="52" spans="1:14" ht="21.75" customHeight="1" thickBot="1" x14ac:dyDescent="0.25">
      <c r="A52" s="17" t="s">
        <v>205</v>
      </c>
      <c r="B52" s="53">
        <v>2.46</v>
      </c>
      <c r="C52" s="54">
        <v>150</v>
      </c>
      <c r="D52" s="15">
        <f t="shared" si="0"/>
        <v>369</v>
      </c>
      <c r="E52" s="62"/>
      <c r="F52" s="58">
        <f t="shared" si="1"/>
        <v>0</v>
      </c>
      <c r="G52" s="59">
        <f t="shared" si="2"/>
        <v>0</v>
      </c>
      <c r="H52" s="272">
        <f t="shared" si="4"/>
        <v>0</v>
      </c>
      <c r="I52" s="255" t="s">
        <v>159</v>
      </c>
    </row>
    <row r="53" spans="1:14" ht="21.75" customHeight="1" thickBot="1" x14ac:dyDescent="0.25">
      <c r="A53" s="17" t="s">
        <v>38</v>
      </c>
      <c r="B53" s="53">
        <f>(8.89+10.88)/2</f>
        <v>9.8850000000000016</v>
      </c>
      <c r="C53" s="54">
        <v>12</v>
      </c>
      <c r="D53" s="15">
        <f t="shared" si="0"/>
        <v>118.62000000000002</v>
      </c>
      <c r="E53" s="62"/>
      <c r="F53" s="58">
        <f t="shared" si="1"/>
        <v>0</v>
      </c>
      <c r="G53" s="59">
        <f t="shared" si="2"/>
        <v>0</v>
      </c>
      <c r="H53" s="272">
        <f t="shared" si="4"/>
        <v>0</v>
      </c>
      <c r="I53" s="255" t="s">
        <v>312</v>
      </c>
    </row>
    <row r="54" spans="1:14" ht="21.75" customHeight="1" thickBot="1" x14ac:dyDescent="0.25">
      <c r="A54" s="17" t="s">
        <v>381</v>
      </c>
      <c r="B54" s="53">
        <v>2.31</v>
      </c>
      <c r="C54" s="54">
        <v>130</v>
      </c>
      <c r="D54" s="15">
        <f t="shared" si="0"/>
        <v>300.3</v>
      </c>
      <c r="E54" s="62"/>
      <c r="F54" s="58">
        <f t="shared" si="1"/>
        <v>0</v>
      </c>
      <c r="G54" s="59">
        <f t="shared" si="2"/>
        <v>0</v>
      </c>
      <c r="H54" s="272">
        <f t="shared" si="4"/>
        <v>0</v>
      </c>
      <c r="I54" s="255" t="s">
        <v>312</v>
      </c>
    </row>
    <row r="55" spans="1:14" ht="21.75" customHeight="1" thickBot="1" x14ac:dyDescent="0.25">
      <c r="A55" s="17" t="s">
        <v>40</v>
      </c>
      <c r="B55" s="53">
        <f>(2.86+3.53)/2</f>
        <v>3.1949999999999998</v>
      </c>
      <c r="C55" s="54">
        <v>15</v>
      </c>
      <c r="D55" s="15">
        <f t="shared" si="0"/>
        <v>47.924999999999997</v>
      </c>
      <c r="E55" s="62"/>
      <c r="F55" s="58">
        <f t="shared" si="1"/>
        <v>0</v>
      </c>
      <c r="G55" s="59">
        <f t="shared" si="2"/>
        <v>0</v>
      </c>
      <c r="H55" s="272">
        <f t="shared" si="4"/>
        <v>0</v>
      </c>
      <c r="I55" s="255" t="s">
        <v>117</v>
      </c>
    </row>
    <row r="56" spans="1:14" ht="21.75" customHeight="1" thickBot="1" x14ac:dyDescent="0.25">
      <c r="A56" s="17" t="s">
        <v>482</v>
      </c>
      <c r="B56" s="53">
        <f>(3.48+4.02)/2</f>
        <v>3.75</v>
      </c>
      <c r="C56" s="54">
        <v>15</v>
      </c>
      <c r="D56" s="15">
        <f t="shared" si="0"/>
        <v>56.25</v>
      </c>
      <c r="E56" s="62"/>
      <c r="F56" s="58">
        <f t="shared" si="1"/>
        <v>0</v>
      </c>
      <c r="G56" s="59">
        <f t="shared" si="2"/>
        <v>0</v>
      </c>
      <c r="H56" s="272">
        <f t="shared" si="4"/>
        <v>0</v>
      </c>
      <c r="I56" s="255" t="s">
        <v>117</v>
      </c>
    </row>
    <row r="57" spans="1:14" ht="21.75" customHeight="1" thickBot="1" x14ac:dyDescent="0.25">
      <c r="A57" s="17" t="s">
        <v>41</v>
      </c>
      <c r="B57" s="53">
        <f>(2.46+3.07)/2</f>
        <v>2.7649999999999997</v>
      </c>
      <c r="C57" s="54">
        <v>100</v>
      </c>
      <c r="D57" s="15">
        <f t="shared" si="0"/>
        <v>276.49999999999994</v>
      </c>
      <c r="E57" s="62"/>
      <c r="F57" s="58">
        <f t="shared" si="1"/>
        <v>0</v>
      </c>
      <c r="G57" s="59">
        <f t="shared" si="2"/>
        <v>0</v>
      </c>
      <c r="H57" s="272">
        <f t="shared" si="4"/>
        <v>0</v>
      </c>
      <c r="I57" s="255" t="s">
        <v>312</v>
      </c>
    </row>
    <row r="58" spans="1:14" ht="21.75" customHeight="1" thickBot="1" x14ac:dyDescent="0.25">
      <c r="A58" s="17" t="s">
        <v>385</v>
      </c>
      <c r="B58" s="53">
        <v>26.01</v>
      </c>
      <c r="C58" s="54">
        <v>15</v>
      </c>
      <c r="D58" s="15">
        <f t="shared" si="0"/>
        <v>390.15000000000003</v>
      </c>
      <c r="E58" s="232"/>
      <c r="F58" s="58">
        <f t="shared" si="1"/>
        <v>0</v>
      </c>
      <c r="G58" s="59">
        <f t="shared" si="2"/>
        <v>0</v>
      </c>
      <c r="H58" s="272">
        <f t="shared" si="4"/>
        <v>0</v>
      </c>
      <c r="I58" s="255" t="s">
        <v>314</v>
      </c>
    </row>
    <row r="59" spans="1:14" ht="21.75" customHeight="1" thickBot="1" x14ac:dyDescent="0.25">
      <c r="A59" s="47" t="s">
        <v>386</v>
      </c>
      <c r="B59" s="53">
        <v>5.83</v>
      </c>
      <c r="C59" s="54">
        <v>15</v>
      </c>
      <c r="D59" s="15">
        <f t="shared" si="0"/>
        <v>87.45</v>
      </c>
      <c r="E59" s="62"/>
      <c r="F59" s="58">
        <f t="shared" si="1"/>
        <v>0</v>
      </c>
      <c r="G59" s="59">
        <f t="shared" si="2"/>
        <v>0</v>
      </c>
      <c r="H59" s="272">
        <f t="shared" si="4"/>
        <v>0</v>
      </c>
      <c r="I59" s="255" t="s">
        <v>159</v>
      </c>
    </row>
    <row r="60" spans="1:14" ht="21.75" customHeight="1" thickTop="1" thickBot="1" x14ac:dyDescent="0.25">
      <c r="A60" s="124" t="s">
        <v>102</v>
      </c>
      <c r="B60" s="125"/>
      <c r="C60" s="126"/>
      <c r="D60" s="252">
        <f t="shared" ref="D60:D65" si="5">IF(ISERROR(C60*B60),0,C60*B60)</f>
        <v>0</v>
      </c>
      <c r="E60" s="233"/>
      <c r="F60" s="58">
        <f t="shared" si="1"/>
        <v>0</v>
      </c>
      <c r="G60" s="59">
        <f t="shared" si="2"/>
        <v>0</v>
      </c>
      <c r="H60" s="272">
        <f t="shared" si="4"/>
        <v>0</v>
      </c>
      <c r="I60" s="234"/>
      <c r="J60" s="412" t="s">
        <v>363</v>
      </c>
      <c r="K60" s="413"/>
      <c r="L60" s="196"/>
      <c r="M60" s="173" t="s">
        <v>428</v>
      </c>
      <c r="N60" s="203"/>
    </row>
    <row r="61" spans="1:14" ht="21.75" customHeight="1" thickBot="1" x14ac:dyDescent="0.25">
      <c r="A61" s="128" t="s">
        <v>103</v>
      </c>
      <c r="B61" s="49"/>
      <c r="C61" s="50"/>
      <c r="D61" s="21">
        <f t="shared" si="5"/>
        <v>0</v>
      </c>
      <c r="E61" s="62"/>
      <c r="F61" s="58">
        <f t="shared" si="1"/>
        <v>0</v>
      </c>
      <c r="G61" s="59">
        <f t="shared" si="2"/>
        <v>0</v>
      </c>
      <c r="H61" s="272">
        <f t="shared" si="4"/>
        <v>0</v>
      </c>
      <c r="I61" s="197"/>
      <c r="J61" s="414" t="s">
        <v>363</v>
      </c>
      <c r="K61" s="413"/>
      <c r="L61" s="196"/>
      <c r="M61" s="173" t="s">
        <v>428</v>
      </c>
      <c r="N61" s="203"/>
    </row>
    <row r="62" spans="1:14" ht="21.75" customHeight="1" thickBot="1" x14ac:dyDescent="0.25">
      <c r="A62" s="128" t="s">
        <v>104</v>
      </c>
      <c r="B62" s="49"/>
      <c r="C62" s="50"/>
      <c r="D62" s="21">
        <f t="shared" si="5"/>
        <v>0</v>
      </c>
      <c r="E62" s="62"/>
      <c r="F62" s="58">
        <f t="shared" si="1"/>
        <v>0</v>
      </c>
      <c r="G62" s="59">
        <f t="shared" si="2"/>
        <v>0</v>
      </c>
      <c r="H62" s="272">
        <f t="shared" si="4"/>
        <v>0</v>
      </c>
      <c r="I62" s="197"/>
      <c r="J62" s="414" t="s">
        <v>363</v>
      </c>
      <c r="K62" s="413"/>
      <c r="L62" s="196"/>
      <c r="M62" s="173" t="s">
        <v>428</v>
      </c>
      <c r="N62" s="203"/>
    </row>
    <row r="63" spans="1:14" ht="21.75" customHeight="1" thickBot="1" x14ac:dyDescent="0.25">
      <c r="A63" s="128" t="s">
        <v>105</v>
      </c>
      <c r="B63" s="49"/>
      <c r="C63" s="50"/>
      <c r="D63" s="21">
        <f t="shared" si="5"/>
        <v>0</v>
      </c>
      <c r="E63" s="62"/>
      <c r="F63" s="58">
        <f t="shared" si="1"/>
        <v>0</v>
      </c>
      <c r="G63" s="59">
        <f t="shared" si="2"/>
        <v>0</v>
      </c>
      <c r="H63" s="272">
        <f t="shared" si="4"/>
        <v>0</v>
      </c>
      <c r="I63" s="197"/>
      <c r="J63" s="414" t="s">
        <v>363</v>
      </c>
      <c r="K63" s="413"/>
      <c r="L63" s="196"/>
      <c r="M63" s="173" t="s">
        <v>428</v>
      </c>
      <c r="N63" s="203"/>
    </row>
    <row r="64" spans="1:14" ht="21.75" customHeight="1" thickBot="1" x14ac:dyDescent="0.25">
      <c r="A64" s="128" t="s">
        <v>106</v>
      </c>
      <c r="B64" s="49"/>
      <c r="C64" s="50"/>
      <c r="D64" s="21">
        <f t="shared" si="5"/>
        <v>0</v>
      </c>
      <c r="E64" s="62"/>
      <c r="F64" s="58">
        <f t="shared" si="1"/>
        <v>0</v>
      </c>
      <c r="G64" s="59">
        <f t="shared" si="2"/>
        <v>0</v>
      </c>
      <c r="H64" s="272">
        <f t="shared" si="4"/>
        <v>0</v>
      </c>
      <c r="I64" s="197"/>
      <c r="J64" s="414" t="s">
        <v>363</v>
      </c>
      <c r="K64" s="413"/>
      <c r="L64" s="196"/>
      <c r="M64" s="173" t="s">
        <v>428</v>
      </c>
      <c r="N64" s="203"/>
    </row>
    <row r="65" spans="1:14" ht="21.75" customHeight="1" thickBot="1" x14ac:dyDescent="0.25">
      <c r="A65" s="128" t="s">
        <v>107</v>
      </c>
      <c r="B65" s="49"/>
      <c r="C65" s="50"/>
      <c r="D65" s="21">
        <f t="shared" si="5"/>
        <v>0</v>
      </c>
      <c r="E65" s="62"/>
      <c r="F65" s="58">
        <f t="shared" si="1"/>
        <v>0</v>
      </c>
      <c r="G65" s="59">
        <f t="shared" si="2"/>
        <v>0</v>
      </c>
      <c r="H65" s="272">
        <f t="shared" si="4"/>
        <v>0</v>
      </c>
      <c r="I65" s="197"/>
      <c r="J65" s="414" t="s">
        <v>363</v>
      </c>
      <c r="K65" s="413"/>
      <c r="L65" s="196"/>
      <c r="M65" s="173" t="s">
        <v>428</v>
      </c>
      <c r="N65" s="203"/>
    </row>
    <row r="66" spans="1:14" ht="21.75" customHeight="1" thickBot="1" x14ac:dyDescent="0.25">
      <c r="A66" s="129" t="s">
        <v>108</v>
      </c>
      <c r="B66" s="237"/>
      <c r="C66" s="130"/>
      <c r="D66" s="131">
        <f t="shared" ref="D66" si="6">IF(ISERROR(C66*B66),0,C66*B66)</f>
        <v>0</v>
      </c>
      <c r="E66" s="132"/>
      <c r="F66" s="407">
        <f t="shared" si="1"/>
        <v>0</v>
      </c>
      <c r="G66" s="408">
        <f t="shared" si="2"/>
        <v>0</v>
      </c>
      <c r="H66" s="273">
        <f t="shared" si="4"/>
        <v>0</v>
      </c>
      <c r="I66" s="228"/>
      <c r="J66" s="414" t="s">
        <v>363</v>
      </c>
      <c r="K66" s="413"/>
      <c r="L66" s="196"/>
      <c r="M66" s="173" t="s">
        <v>428</v>
      </c>
      <c r="N66" s="203"/>
    </row>
    <row r="67" spans="1:14" ht="21.75" customHeight="1" thickTop="1" x14ac:dyDescent="0.25"/>
    <row r="68" spans="1:14" ht="21.75" customHeight="1" x14ac:dyDescent="0.25"/>
    <row r="69" spans="1:14" ht="21.75" customHeight="1" x14ac:dyDescent="0.25"/>
    <row r="70" spans="1:14" ht="21.75" customHeight="1" x14ac:dyDescent="0.25"/>
    <row r="71" spans="1:14" ht="21.75" customHeight="1" x14ac:dyDescent="0.25"/>
    <row r="72" spans="1:14" ht="21.75" customHeight="1" x14ac:dyDescent="0.25"/>
    <row r="73" spans="1:14" ht="21.75" customHeight="1" x14ac:dyDescent="0.25"/>
    <row r="74" spans="1:14" ht="21.75" customHeight="1" x14ac:dyDescent="0.25"/>
    <row r="75" spans="1:14" ht="15.75" x14ac:dyDescent="0.2">
      <c r="A75" s="25"/>
      <c r="B75" s="26"/>
      <c r="C75" s="27"/>
      <c r="D75" s="28"/>
      <c r="E75" s="29"/>
      <c r="F75" s="30"/>
      <c r="G75" s="30"/>
      <c r="H75" s="31"/>
    </row>
    <row r="76" spans="1:14" ht="14.25" x14ac:dyDescent="0.2">
      <c r="B76"/>
    </row>
    <row r="77" spans="1:14" ht="14.25" x14ac:dyDescent="0.2">
      <c r="B77"/>
    </row>
    <row r="78" spans="1:14" ht="14.25" x14ac:dyDescent="0.2">
      <c r="B78"/>
    </row>
    <row r="79" spans="1:14" ht="14.25" x14ac:dyDescent="0.2">
      <c r="B79"/>
    </row>
    <row r="80" spans="1:14" ht="14.25" x14ac:dyDescent="0.2">
      <c r="B80"/>
    </row>
    <row r="81" spans="2:2" ht="14.25" x14ac:dyDescent="0.2">
      <c r="B81"/>
    </row>
    <row r="82" spans="2:2" ht="14.25" x14ac:dyDescent="0.2">
      <c r="B82"/>
    </row>
    <row r="83" spans="2:2" ht="14.25" x14ac:dyDescent="0.2">
      <c r="B83"/>
    </row>
    <row r="84" spans="2:2" ht="14.25" x14ac:dyDescent="0.2">
      <c r="B84"/>
    </row>
    <row r="85" spans="2:2" ht="14.25" x14ac:dyDescent="0.2">
      <c r="B85"/>
    </row>
    <row r="86" spans="2:2" ht="14.25" x14ac:dyDescent="0.2">
      <c r="B86"/>
    </row>
    <row r="87" spans="2:2" ht="14.25" x14ac:dyDescent="0.2">
      <c r="B87"/>
    </row>
    <row r="88" spans="2:2" ht="14.25" x14ac:dyDescent="0.2">
      <c r="B88"/>
    </row>
    <row r="89" spans="2:2" ht="14.25" x14ac:dyDescent="0.2">
      <c r="B89"/>
    </row>
    <row r="90" spans="2:2" ht="14.25" x14ac:dyDescent="0.2">
      <c r="B90"/>
    </row>
    <row r="91" spans="2:2" ht="14.25" x14ac:dyDescent="0.2">
      <c r="B91"/>
    </row>
    <row r="92" spans="2:2" ht="14.25" x14ac:dyDescent="0.2">
      <c r="B92"/>
    </row>
    <row r="93" spans="2:2" ht="14.25" x14ac:dyDescent="0.2">
      <c r="B93"/>
    </row>
    <row r="94" spans="2:2" ht="14.25" x14ac:dyDescent="0.2">
      <c r="B94"/>
    </row>
    <row r="95" spans="2:2" ht="14.25" x14ac:dyDescent="0.2">
      <c r="B95"/>
    </row>
    <row r="96" spans="2:2" ht="14.25" x14ac:dyDescent="0.2">
      <c r="B96"/>
    </row>
    <row r="97" spans="2:2" ht="14.25" x14ac:dyDescent="0.2">
      <c r="B97"/>
    </row>
    <row r="98" spans="2:2" ht="14.25" x14ac:dyDescent="0.2">
      <c r="B98"/>
    </row>
    <row r="99" spans="2:2" ht="14.25" x14ac:dyDescent="0.2">
      <c r="B99"/>
    </row>
    <row r="100" spans="2:2" ht="14.25" x14ac:dyDescent="0.2">
      <c r="B100"/>
    </row>
    <row r="101" spans="2:2" ht="14.25" x14ac:dyDescent="0.2">
      <c r="B101"/>
    </row>
    <row r="102" spans="2:2" ht="14.25" x14ac:dyDescent="0.2">
      <c r="B102"/>
    </row>
    <row r="103" spans="2:2" ht="14.25" x14ac:dyDescent="0.2">
      <c r="B103"/>
    </row>
    <row r="104" spans="2:2" ht="14.25" x14ac:dyDescent="0.2">
      <c r="B104"/>
    </row>
    <row r="105" spans="2:2" ht="14.25" x14ac:dyDescent="0.2">
      <c r="B105"/>
    </row>
    <row r="106" spans="2:2" ht="14.25" x14ac:dyDescent="0.2">
      <c r="B106"/>
    </row>
    <row r="107" spans="2:2" ht="14.25" x14ac:dyDescent="0.2">
      <c r="B107"/>
    </row>
    <row r="108" spans="2:2" ht="14.25" x14ac:dyDescent="0.2">
      <c r="B108"/>
    </row>
    <row r="109" spans="2:2" ht="14.25" x14ac:dyDescent="0.2">
      <c r="B109"/>
    </row>
    <row r="110" spans="2:2" ht="14.25" x14ac:dyDescent="0.2">
      <c r="B110"/>
    </row>
    <row r="111" spans="2:2" ht="14.25" x14ac:dyDescent="0.2">
      <c r="B111"/>
    </row>
    <row r="112" spans="2:2" ht="14.25" x14ac:dyDescent="0.2">
      <c r="B112"/>
    </row>
    <row r="113" spans="2:2" ht="14.25" x14ac:dyDescent="0.2">
      <c r="B113"/>
    </row>
    <row r="114" spans="2:2" ht="14.25" x14ac:dyDescent="0.2">
      <c r="B114"/>
    </row>
    <row r="115" spans="2:2" ht="14.25" x14ac:dyDescent="0.2">
      <c r="B115"/>
    </row>
    <row r="116" spans="2:2" ht="14.25" x14ac:dyDescent="0.2">
      <c r="B116"/>
    </row>
    <row r="117" spans="2:2" ht="14.25" x14ac:dyDescent="0.2">
      <c r="B117"/>
    </row>
    <row r="118" spans="2:2" ht="14.25" x14ac:dyDescent="0.2">
      <c r="B118"/>
    </row>
    <row r="119" spans="2:2" ht="14.25" x14ac:dyDescent="0.2">
      <c r="B119"/>
    </row>
    <row r="120" spans="2:2" ht="14.25" x14ac:dyDescent="0.2">
      <c r="B120"/>
    </row>
    <row r="121" spans="2:2" ht="14.25" x14ac:dyDescent="0.2">
      <c r="B121"/>
    </row>
    <row r="122" spans="2:2" ht="14.25" x14ac:dyDescent="0.2">
      <c r="B122"/>
    </row>
    <row r="123" spans="2:2" ht="14.25" x14ac:dyDescent="0.2">
      <c r="B123"/>
    </row>
    <row r="124" spans="2:2" ht="14.25" x14ac:dyDescent="0.2">
      <c r="B124"/>
    </row>
    <row r="125" spans="2:2" ht="14.25" x14ac:dyDescent="0.2">
      <c r="B125"/>
    </row>
    <row r="126" spans="2:2" ht="14.25" x14ac:dyDescent="0.2">
      <c r="B126"/>
    </row>
    <row r="127" spans="2:2" ht="14.25" x14ac:dyDescent="0.2">
      <c r="B127"/>
    </row>
    <row r="128" spans="2:2" ht="14.25" x14ac:dyDescent="0.2">
      <c r="B128"/>
    </row>
    <row r="129" spans="2:2" ht="14.25" x14ac:dyDescent="0.2">
      <c r="B129"/>
    </row>
    <row r="130" spans="2:2" ht="14.25" x14ac:dyDescent="0.2">
      <c r="B130"/>
    </row>
  </sheetData>
  <sheetProtection algorithmName="SHA-512" hashValue="iZISK/muNTSMbXb9SiyFFqrrwwqWkry2M438KEfe+79z1bGIqmqPomtal/vyGy/tdgmlLNG4c/3KZqpLQaYoig==" saltValue="CSk9D17TGgK12z+oF6gSPQ==" spinCount="100000" sheet="1" objects="1" scenarios="1"/>
  <mergeCells count="19">
    <mergeCell ref="J62:K62"/>
    <mergeCell ref="J63:K63"/>
    <mergeCell ref="J64:K64"/>
    <mergeCell ref="J65:K65"/>
    <mergeCell ref="J66:K66"/>
    <mergeCell ref="E1:H1"/>
    <mergeCell ref="M1:N2"/>
    <mergeCell ref="J3:K3"/>
    <mergeCell ref="J4:L5"/>
    <mergeCell ref="J12:L13"/>
    <mergeCell ref="M3:N3"/>
    <mergeCell ref="J60:K60"/>
    <mergeCell ref="J61:K61"/>
    <mergeCell ref="J6:K7"/>
    <mergeCell ref="L6:L7"/>
    <mergeCell ref="J8:K9"/>
    <mergeCell ref="L8:L9"/>
    <mergeCell ref="J10:K11"/>
    <mergeCell ref="L10:L11"/>
  </mergeCells>
  <conditionalFormatting sqref="E2:E3">
    <cfRule type="expression" dxfId="54" priority="49">
      <formula>SUM($E$4:$E$66)=0</formula>
    </cfRule>
  </conditionalFormatting>
  <conditionalFormatting sqref="I1:I2">
    <cfRule type="expression" dxfId="53" priority="16">
      <formula>OR($I$2="",$I$2=0)</formula>
    </cfRule>
  </conditionalFormatting>
  <conditionalFormatting sqref="I60:I66">
    <cfRule type="expression" dxfId="52" priority="1">
      <formula>AND(E60&gt;0,I60="")</formula>
    </cfRule>
    <cfRule type="expression" dxfId="51" priority="12">
      <formula>$I60&lt;&gt;""</formula>
    </cfRule>
  </conditionalFormatting>
  <conditionalFormatting sqref="J60:J66">
    <cfRule type="expression" dxfId="50" priority="2">
      <formula>$J60="insektenblütig JA / NEIN:"</formula>
    </cfRule>
  </conditionalFormatting>
  <conditionalFormatting sqref="J3:L3">
    <cfRule type="expression" dxfId="49" priority="6">
      <formula>AND($L$3&gt;0.6,$L$3&lt;&gt;"0 %",$J$2&gt;0)</formula>
    </cfRule>
    <cfRule type="expression" dxfId="48" priority="9">
      <formula>$L$3="0 %"</formula>
    </cfRule>
  </conditionalFormatting>
  <conditionalFormatting sqref="J4:L5">
    <cfRule type="expression" dxfId="47" priority="3">
      <formula>$L$6=""</formula>
    </cfRule>
  </conditionalFormatting>
  <conditionalFormatting sqref="J6:L7">
    <cfRule type="expression" dxfId="46" priority="4">
      <formula>$L$6=""</formula>
    </cfRule>
  </conditionalFormatting>
  <conditionalFormatting sqref="L60:L66">
    <cfRule type="expression" dxfId="45" priority="14">
      <formula>AND($J60="insektenblütig JA / NEIN:",$L60&lt;&gt;"")</formula>
    </cfRule>
  </conditionalFormatting>
  <conditionalFormatting sqref="M3:N3">
    <cfRule type="expression" dxfId="44" priority="8">
      <formula>AND($L$3&gt;0.6,$L$3&lt;&gt;"0 %",$J$2&gt;0)</formula>
    </cfRule>
  </conditionalFormatting>
  <conditionalFormatting sqref="N60:N66">
    <cfRule type="expression" dxfId="43" priority="11">
      <formula>$N60&lt;&gt;""</formula>
    </cfRule>
  </conditionalFormatting>
  <hyperlinks>
    <hyperlink ref="M1:N2" location="'Zusammenfassung int. Prod.'!A1" display="'Zusammenfassung int. Prod.'!A1" xr:uid="{00000000-0004-0000-0100-000000000000}"/>
  </hyperlinks>
  <pageMargins left="0.7" right="0.7" top="0.78740157499999996" bottom="0.78740157499999996" header="0.3" footer="0.3"/>
  <pageSetup paperSize="9" scale="48" fitToHeight="3"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xr:uid="{00000000-0002-0000-0100-000000000000}">
          <x14:formula1>
            <xm:f>'Konventionell (2)'!$AG$3:$AG$14</xm:f>
          </x14:formula1>
          <xm:sqref>I60:I66</xm:sqref>
        </x14:dataValidation>
        <x14:dataValidation type="list" allowBlank="1" showInputMessage="1" showErrorMessage="1" xr:uid="{00000000-0002-0000-0100-000001000000}">
          <x14:formula1>
            <xm:f>'Konventionell (2)'!$AH$3:$AH$5</xm:f>
          </x14:formula1>
          <xm:sqref>L60:L66</xm:sqref>
        </x14:dataValidation>
        <x14:dataValidation type="list" allowBlank="1" showInputMessage="1" showErrorMessage="1" xr:uid="{00000000-0002-0000-0100-000002000000}">
          <x14:formula1>
            <xm:f>'Konventionell (2)'!$AI$3:$AI$9</xm:f>
          </x14:formula1>
          <xm:sqref>N60:N66</xm:sqref>
        </x14:dataValidation>
        <x14:dataValidation type="list" allowBlank="1" showInputMessage="1" showErrorMessage="1" errorTitle="nur Vorauswahl möglich" error="nur vorgegebene Dünger auswählbar" xr:uid="{00000000-0002-0000-0100-000003000000}">
          <x14:formula1>
            <xm:f>'Konventionell (2)'!$AJ$3:$AJ$10</xm:f>
          </x14:formula1>
          <xm:sqref>L6:L7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249977111117893"/>
    <pageSetUpPr fitToPage="1"/>
  </sheetPr>
  <dimension ref="A1:P106"/>
  <sheetViews>
    <sheetView zoomScale="85" zoomScaleNormal="85" workbookViewId="0">
      <selection activeCell="A3" sqref="A3"/>
    </sheetView>
  </sheetViews>
  <sheetFormatPr baseColWidth="10" defaultRowHeight="14.25" x14ac:dyDescent="0.2"/>
  <cols>
    <col min="1" max="1" width="29.5" customWidth="1"/>
    <col min="2" max="2" width="13" customWidth="1"/>
    <col min="3" max="3" width="14.625" customWidth="1"/>
    <col min="4" max="4" width="24.75" bestFit="1" customWidth="1"/>
    <col min="5" max="5" width="24.875" bestFit="1" customWidth="1"/>
    <col min="6" max="6" width="16.625" customWidth="1"/>
    <col min="7" max="7" width="20" customWidth="1"/>
    <col min="8" max="8" width="19.375" customWidth="1"/>
    <col min="9" max="9" width="18.125" customWidth="1"/>
    <col min="10" max="13" width="16.625" customWidth="1"/>
    <col min="15" max="16" width="11" hidden="1" customWidth="1"/>
    <col min="17" max="17" width="11" customWidth="1"/>
  </cols>
  <sheetData>
    <row r="1" spans="1:15" ht="39" customHeight="1" thickBot="1" x14ac:dyDescent="0.25">
      <c r="A1" s="548" t="str">
        <f>IF(OR('Begr.-Rechner int. Prod.'!$A$2="Name der Mischung",'Begr.-Rechner int. Prod.'!$A$2=""),"Zusammenfassung der gewählten Kulturen",CONCATENATE("Zusammenfassung der Komponeten der Mischung: ",'Begr.-Rechner int. Prod.'!$A$2))</f>
        <v>Zusammenfassung der gewählten Kulturen</v>
      </c>
      <c r="B1" s="549"/>
      <c r="C1" s="549"/>
      <c r="D1" s="549"/>
      <c r="E1" s="549"/>
      <c r="F1" s="549"/>
      <c r="G1" s="549"/>
      <c r="H1" s="549"/>
      <c r="I1" s="550"/>
      <c r="J1" s="527" t="s">
        <v>1067</v>
      </c>
      <c r="K1" s="528"/>
      <c r="L1" s="533" t="s">
        <v>1066</v>
      </c>
      <c r="M1" s="534"/>
    </row>
    <row r="2" spans="1:15" ht="15" thickBot="1" x14ac:dyDescent="0.25">
      <c r="J2" s="529"/>
      <c r="K2" s="530"/>
      <c r="L2" s="535"/>
      <c r="M2" s="536"/>
    </row>
    <row r="3" spans="1:15" ht="58.5" customHeight="1" thickBot="1" x14ac:dyDescent="0.25">
      <c r="A3" s="220" t="s">
        <v>283</v>
      </c>
      <c r="B3" s="220" t="s">
        <v>287</v>
      </c>
      <c r="C3" s="220" t="s">
        <v>289</v>
      </c>
      <c r="D3" s="220" t="s">
        <v>756</v>
      </c>
      <c r="E3" s="219" t="str">
        <f>CONCATENATE("Kosten in € für die Gesamtfläche von ",'Begr.-Rechner int. Prod.'!$I$2," ha")</f>
        <v>Kosten in € für die Gesamtfläche von  ha</v>
      </c>
      <c r="F3" s="539" t="s">
        <v>436</v>
      </c>
      <c r="G3" s="540"/>
      <c r="H3" s="539" t="s">
        <v>477</v>
      </c>
      <c r="I3" s="540"/>
      <c r="J3" s="531"/>
      <c r="K3" s="532"/>
      <c r="L3" s="537"/>
      <c r="M3" s="538"/>
    </row>
    <row r="4" spans="1:15" ht="21.75" customHeight="1" thickBot="1" x14ac:dyDescent="0.25">
      <c r="A4" s="143" t="str">
        <f>IF('Begr.-Rechner int. Prod.'!$I$2&lt;&gt;"",CONCATENATE('Begr.-Rechner int. Prod.'!$I$2," ha"),"")</f>
        <v/>
      </c>
      <c r="B4" s="143" t="str">
        <f>IF('Begr.-Rechner int. Prod.'!$J$2&gt;0,CONCATENATE('Begr.-Rechner int. Prod.'!$J$2, " kg/ha"),"")</f>
        <v/>
      </c>
      <c r="C4" s="143" t="str">
        <f>IF('Begr.-Rechner int. Prod.'!$K$2&gt;0,CONCATENATE('Begr.-Rechner int. Prod.'!$K$2," €"),"")</f>
        <v/>
      </c>
      <c r="D4" s="269" t="str">
        <f>IF('Begr.-Rechner int. Prod.'!$L$2&gt;0,'Begr.-Rechner int. Prod.'!$L$2,"")</f>
        <v/>
      </c>
      <c r="E4" s="143" t="str">
        <f>IF(ROUND(SUM(F7:F39),0)&gt;0,CONCATENATE(ROUND(SUM(F7:F39),0)," €"),"")</f>
        <v/>
      </c>
      <c r="F4" s="541" t="str">
        <f>IF(AND('Konventionell (2)'!AE3="",'Konventionell (2)'!AE4="",'Konventionell (2)'!AE5="",'Konventionell (2)'!AE6="",'Konventionell (2)'!AE7="",'Konventionell (2)'!AE8="",'Konventionell (2)'!AE9="",'Konventionell (2)'!J2&gt;0),'Konventionell (2)'!AE10,CONCATENATE('Konventionell (2)'!AE3,'Konventionell (2)'!AE4,'Konventionell (2)'!AE5,'Konventionell (2)'!AE6,'Konventionell (2)'!AE7,'Konventionell (2)'!AE8,'Konventionell (2)'!AE9))</f>
        <v/>
      </c>
      <c r="G4" s="542"/>
      <c r="H4" s="545" t="str">
        <f>IF(AND($D4&gt;0,P40=0),P40,IF(AND($D4&gt;0,P40&gt;0),P40,""))</f>
        <v/>
      </c>
      <c r="I4" s="546"/>
      <c r="J4" s="543" t="str">
        <f>IF('Konventionell (2)'!$X$3="ja","* zulässige Begrünungskulturen gem. Variante 6 beachten:
- Grünschnittroggen nach Saatgutgesetz,
- Wintererbse lt. Saatgutgesetz,
- Pannonische Wicke, Zottelwicke; Winterackerbohne, Winterrübsen (inkl. Perko)","")</f>
        <v/>
      </c>
      <c r="K4" s="543"/>
      <c r="L4" s="543"/>
      <c r="M4" s="543"/>
    </row>
    <row r="5" spans="1:15" ht="15" thickBot="1" x14ac:dyDescent="0.25">
      <c r="F5" s="525"/>
      <c r="G5" s="526"/>
      <c r="J5" s="544"/>
      <c r="K5" s="544"/>
      <c r="L5" s="544"/>
      <c r="M5" s="544"/>
    </row>
    <row r="6" spans="1:15" ht="30" customHeight="1" thickBot="1" x14ac:dyDescent="0.25">
      <c r="A6" s="220" t="s">
        <v>286</v>
      </c>
      <c r="B6" s="222" t="s">
        <v>542</v>
      </c>
      <c r="C6" s="223" t="s">
        <v>1</v>
      </c>
      <c r="D6" s="222" t="s">
        <v>285</v>
      </c>
      <c r="E6" s="224" t="s">
        <v>290</v>
      </c>
      <c r="F6" s="225" t="s">
        <v>288</v>
      </c>
      <c r="G6" s="225" t="s">
        <v>307</v>
      </c>
      <c r="H6" s="539" t="s">
        <v>476</v>
      </c>
      <c r="I6" s="540"/>
      <c r="J6" s="544"/>
      <c r="K6" s="544"/>
      <c r="L6" s="544"/>
      <c r="M6" s="544"/>
    </row>
    <row r="7" spans="1:15" ht="24.95" customHeight="1" thickBot="1" x14ac:dyDescent="0.25">
      <c r="A7" s="331" t="str">
        <f t="array" ref="A7">IFERROR(INDEX('Konventionell (2)'!A:A,SMALL(IF('Konventionell (2)'!$E$3:$E$65&gt;0,ROW($3:$65)),ROW(A1))),"")</f>
        <v/>
      </c>
      <c r="B7" s="332" t="str">
        <f t="array" ref="B7">IFERROR(INDEX('Konventionell (2)'!E:E,SMALL(IF('Konventionell (2)'!$E$3:$E$65&gt;0,ROW($3:$65)),ROW(A1))),"")</f>
        <v/>
      </c>
      <c r="C7" s="333" t="str">
        <f t="array" ref="C7">IFERROR(INDEX('Konventionell (2)'!F:F,SMALL(IF('Konventionell (2)'!$E$3:$E$65&gt;0,ROW($3:$65)),ROW(A1))),"")</f>
        <v/>
      </c>
      <c r="D7" s="334" t="str">
        <f t="array" ref="D7">IFERROR(INDEX('Konventionell (2)'!G:G,SMALL(IF('Konventionell (2)'!$E$3:$E$65&gt;0,ROW($3:$65)),ROW(A1))),"")</f>
        <v/>
      </c>
      <c r="E7" s="332" t="str">
        <f t="array" ref="E7">IFERROR(INDEX('Konventionell (2)'!H:H,SMALL(IF('Konventionell (2)'!$E$3:$E$65&gt;0,ROW($3:$65)),ROW(A1))),"")</f>
        <v/>
      </c>
      <c r="F7" s="250" t="str">
        <f>IF(A7="","",C7*'Begr.-Rechner int. Prod.'!$I$2)</f>
        <v/>
      </c>
      <c r="G7" s="144" t="str">
        <f>IFERROR(VLOOKUP(A7,'Konventionell (2)'!$A$3:$I$68,9,0),"")</f>
        <v/>
      </c>
      <c r="H7" s="551" t="s">
        <v>635</v>
      </c>
      <c r="I7" s="552" t="str">
        <f>'Begr.-Rechner int. Prod.'!L8</f>
        <v>60 kg N ab Lager</v>
      </c>
      <c r="J7" s="544"/>
      <c r="K7" s="544"/>
      <c r="L7" s="544"/>
      <c r="M7" s="544"/>
      <c r="O7" s="202">
        <f t="shared" ref="O7:O39" si="0">IF($G7="Leguminose",D7,0)</f>
        <v>0</v>
      </c>
    </row>
    <row r="8" spans="1:15" ht="24.95" customHeight="1" thickBot="1" x14ac:dyDescent="0.25">
      <c r="A8" s="331" t="str">
        <f t="array" ref="A8">IFERROR(INDEX('Konventionell (2)'!A:A,SMALL(IF('Konventionell (2)'!$E$3:$E$65&gt;0,ROW($3:$65)),ROW(A2))),"")</f>
        <v/>
      </c>
      <c r="B8" s="332" t="str">
        <f t="array" ref="B8">IFERROR(INDEX('Konventionell (2)'!E:E,SMALL(IF('Konventionell (2)'!$E$3:$E$65&gt;0,ROW($3:$65)),ROW(A2))),"")</f>
        <v/>
      </c>
      <c r="C8" s="333" t="str">
        <f t="array" ref="C8">IFERROR(INDEX('Konventionell (2)'!F:F,SMALL(IF('Konventionell (2)'!$E$3:$E$65&gt;0,ROW($3:$65)),ROW(A2))),"")</f>
        <v/>
      </c>
      <c r="D8" s="334" t="str">
        <f t="array" ref="D8">IFERROR(INDEX('Konventionell (2)'!G:G,SMALL(IF('Konventionell (2)'!$E$3:$E$65&gt;0,ROW($3:$65)),ROW(A2))),"")</f>
        <v/>
      </c>
      <c r="E8" s="332" t="str">
        <f t="array" ref="E8">IFERROR(INDEX('Konventionell (2)'!H:H,SMALL(IF('Konventionell (2)'!$E$3:$E$65&gt;0,ROW($3:$65)),ROW(A2))),"")</f>
        <v/>
      </c>
      <c r="F8" s="250" t="str">
        <f>IF(A8="","",C8*'Begr.-Rechner int. Prod.'!$I$2)</f>
        <v/>
      </c>
      <c r="G8" s="144" t="str">
        <f>IFERROR(VLOOKUP(A8,'Konventionell (2)'!$A$3:$I$68,9,0),"")</f>
        <v/>
      </c>
      <c r="H8" s="551"/>
      <c r="I8" s="552"/>
      <c r="J8" s="547" t="str">
        <f>IF(AND(H4&gt;0.6,'Begr.-Rechner int. Prod.'!J2&gt;0),"ACHTUNG Vorfruchtwirkung beachten: 
- ungenutzte ZWF &gt; 60 % Leguminosenanteil: 20 kg
- genutzte ZWF &gt; 60% Leguminosenanteil: 10 kg N
  HINWEIS: es zählt Bestand am Feld, dieser Hinweis ist ausschließlich als 
  Orientierungshilfe zu sehen.","")</f>
        <v/>
      </c>
      <c r="K8" s="544"/>
      <c r="L8" s="544"/>
      <c r="M8" s="544"/>
      <c r="O8" s="202">
        <f t="shared" si="0"/>
        <v>0</v>
      </c>
    </row>
    <row r="9" spans="1:15" ht="24.95" customHeight="1" thickBot="1" x14ac:dyDescent="0.25">
      <c r="A9" s="331" t="str">
        <f t="array" ref="A9">IFERROR(INDEX('Konventionell (2)'!A:A,SMALL(IF('Konventionell (2)'!$E$3:$E$65&gt;0,ROW($3:$65)),ROW(A3))),"")</f>
        <v/>
      </c>
      <c r="B9" s="332" t="str">
        <f t="array" ref="B9">IFERROR(INDEX('Konventionell (2)'!E:E,SMALL(IF('Konventionell (2)'!$E$3:$E$65&gt;0,ROW($3:$65)),ROW(A3))),"")</f>
        <v/>
      </c>
      <c r="C9" s="333" t="str">
        <f t="array" ref="C9">IFERROR(INDEX('Konventionell (2)'!F:F,SMALL(IF('Konventionell (2)'!$E$3:$E$65&gt;0,ROW($3:$65)),ROW(A3))),"")</f>
        <v/>
      </c>
      <c r="D9" s="334" t="str">
        <f t="array" ref="D9">IFERROR(INDEX('Konventionell (2)'!G:G,SMALL(IF('Konventionell (2)'!$E$3:$E$65&gt;0,ROW($3:$65)),ROW(A3))),"")</f>
        <v/>
      </c>
      <c r="E9" s="332" t="str">
        <f t="array" ref="E9">IFERROR(INDEX('Konventionell (2)'!H:H,SMALL(IF('Konventionell (2)'!$E$3:$E$65&gt;0,ROW($3:$65)),ROW(A3))),"")</f>
        <v/>
      </c>
      <c r="F9" s="250" t="str">
        <f>IF(A9="","",C9*'Begr.-Rechner int. Prod.'!$I$2)</f>
        <v/>
      </c>
      <c r="G9" s="144" t="str">
        <f>IFERROR(VLOOKUP(A9,'Konventionell (2)'!$A$3:$I$68,9,0),"")</f>
        <v/>
      </c>
      <c r="H9" s="551" t="s">
        <v>641</v>
      </c>
      <c r="I9" s="552" t="str">
        <f>'Begr.-Rechner int. Prod.'!L10</f>
        <v>60 kg N ab Lager</v>
      </c>
      <c r="J9" s="547"/>
      <c r="K9" s="544"/>
      <c r="L9" s="544"/>
      <c r="M9" s="544"/>
      <c r="O9" s="202">
        <f t="shared" si="0"/>
        <v>0</v>
      </c>
    </row>
    <row r="10" spans="1:15" ht="24.95" customHeight="1" thickBot="1" x14ac:dyDescent="0.25">
      <c r="A10" s="331" t="str">
        <f t="array" ref="A10">IFERROR(INDEX('Konventionell (2)'!A:A,SMALL(IF('Konventionell (2)'!$E$3:$E$65&gt;0,ROW($3:$65)),ROW(A4))),"")</f>
        <v/>
      </c>
      <c r="B10" s="332" t="str">
        <f t="array" ref="B10">IFERROR(INDEX('Konventionell (2)'!E:E,SMALL(IF('Konventionell (2)'!$E$3:$E$65&gt;0,ROW($3:$65)),ROW(A4))),"")</f>
        <v/>
      </c>
      <c r="C10" s="333" t="str">
        <f t="array" ref="C10">IFERROR(INDEX('Konventionell (2)'!F:F,SMALL(IF('Konventionell (2)'!$E$3:$E$65&gt;0,ROW($3:$65)),ROW(A4))),"")</f>
        <v/>
      </c>
      <c r="D10" s="334" t="str">
        <f t="array" ref="D10">IFERROR(INDEX('Konventionell (2)'!G:G,SMALL(IF('Konventionell (2)'!$E$3:$E$65&gt;0,ROW($3:$65)),ROW(A4))),"")</f>
        <v/>
      </c>
      <c r="E10" s="332" t="str">
        <f t="array" ref="E10">IFERROR(INDEX('Konventionell (2)'!H:H,SMALL(IF('Konventionell (2)'!$E$3:$E$65&gt;0,ROW($3:$65)),ROW(A4))),"")</f>
        <v/>
      </c>
      <c r="F10" s="250" t="str">
        <f>IF(A10="","",C10*'Begr.-Rechner int. Prod.'!$I$2)</f>
        <v/>
      </c>
      <c r="G10" s="144" t="str">
        <f>IFERROR(VLOOKUP(A10,'Konventionell (2)'!$A$3:$I$68,9,0),"")</f>
        <v/>
      </c>
      <c r="H10" s="551"/>
      <c r="I10" s="552"/>
      <c r="J10" s="547"/>
      <c r="K10" s="544"/>
      <c r="L10" s="544"/>
      <c r="M10" s="544"/>
      <c r="O10" s="202">
        <f t="shared" si="0"/>
        <v>0</v>
      </c>
    </row>
    <row r="11" spans="1:15" ht="24.95" customHeight="1" thickBot="1" x14ac:dyDescent="0.25">
      <c r="A11" s="331" t="str">
        <f t="array" ref="A11">IFERROR(INDEX('Konventionell (2)'!A:A,SMALL(IF('Konventionell (2)'!$E$3:$E$65&gt;0,ROW($3:$65)),ROW(A5))),"")</f>
        <v/>
      </c>
      <c r="B11" s="332" t="str">
        <f t="array" ref="B11">IFERROR(INDEX('Konventionell (2)'!E:E,SMALL(IF('Konventionell (2)'!$E$3:$E$65&gt;0,ROW($3:$65)),ROW(A5))),"")</f>
        <v/>
      </c>
      <c r="C11" s="333" t="str">
        <f t="array" ref="C11">IFERROR(INDEX('Konventionell (2)'!F:F,SMALL(IF('Konventionell (2)'!$E$3:$E$65&gt;0,ROW($3:$65)),ROW(A5))),"")</f>
        <v/>
      </c>
      <c r="D11" s="334" t="str">
        <f t="array" ref="D11">IFERROR(INDEX('Konventionell (2)'!G:G,SMALL(IF('Konventionell (2)'!$E$3:$E$65&gt;0,ROW($3:$65)),ROW(A5))),"")</f>
        <v/>
      </c>
      <c r="E11" s="332" t="str">
        <f t="array" ref="E11">IFERROR(INDEX('Konventionell (2)'!H:H,SMALL(IF('Konventionell (2)'!$E$3:$E$65&gt;0,ROW($3:$65)),ROW(A5))),"")</f>
        <v/>
      </c>
      <c r="F11" s="250" t="str">
        <f>IF(A11="","",C11*'Begr.-Rechner int. Prod.'!$I$2)</f>
        <v/>
      </c>
      <c r="G11" s="144" t="str">
        <f>IFERROR(VLOOKUP(A11,'Konventionell (2)'!$A$3:$I$68,9,0),"")</f>
        <v/>
      </c>
      <c r="H11" s="551"/>
      <c r="I11" s="552"/>
      <c r="J11" s="547"/>
      <c r="K11" s="544"/>
      <c r="L11" s="544"/>
      <c r="M11" s="544"/>
      <c r="O11" s="202">
        <f t="shared" si="0"/>
        <v>0</v>
      </c>
    </row>
    <row r="12" spans="1:15" ht="24.95" customHeight="1" x14ac:dyDescent="0.2">
      <c r="A12" s="331" t="str">
        <f t="array" ref="A12">IFERROR(INDEX('Konventionell (2)'!A:A,SMALL(IF('Konventionell (2)'!$E$3:$E$65&gt;0,ROW($3:$65)),ROW(A6))),"")</f>
        <v/>
      </c>
      <c r="B12" s="332" t="str">
        <f t="array" ref="B12">IFERROR(INDEX('Konventionell (2)'!E:E,SMALL(IF('Konventionell (2)'!$E$3:$E$65&gt;0,ROW($3:$65)),ROW(A6))),"")</f>
        <v/>
      </c>
      <c r="C12" s="333" t="str">
        <f t="array" ref="C12">IFERROR(INDEX('Konventionell (2)'!F:F,SMALL(IF('Konventionell (2)'!$E$3:$E$65&gt;0,ROW($3:$65)),ROW(A6))),"")</f>
        <v/>
      </c>
      <c r="D12" s="334" t="str">
        <f t="array" ref="D12">IFERROR(INDEX('Konventionell (2)'!G:G,SMALL(IF('Konventionell (2)'!$E$3:$E$65&gt;0,ROW($3:$65)),ROW(A6))),"")</f>
        <v/>
      </c>
      <c r="E12" s="332" t="str">
        <f t="array" ref="E12">IFERROR(INDEX('Konventionell (2)'!H:H,SMALL(IF('Konventionell (2)'!$E$3:$E$65&gt;0,ROW($3:$65)),ROW(A6))),"")</f>
        <v/>
      </c>
      <c r="F12" s="250" t="str">
        <f>IF(A12="","",C12*'Begr.-Rechner int. Prod.'!$I$2)</f>
        <v/>
      </c>
      <c r="G12" s="144" t="str">
        <f>IFERROR(VLOOKUP(A12,'Konventionell (2)'!$A$3:$I$68,9,0),"")</f>
        <v/>
      </c>
      <c r="H12" s="521" t="s">
        <v>636</v>
      </c>
      <c r="I12" s="522"/>
      <c r="J12" s="547"/>
      <c r="K12" s="544"/>
      <c r="L12" s="544"/>
      <c r="M12" s="544"/>
      <c r="O12" s="202">
        <f t="shared" si="0"/>
        <v>0</v>
      </c>
    </row>
    <row r="13" spans="1:15" ht="24.95" customHeight="1" x14ac:dyDescent="0.2">
      <c r="A13" s="331" t="str">
        <f t="array" ref="A13">IFERROR(INDEX('Konventionell (2)'!A:A,SMALL(IF('Konventionell (2)'!$E$3:$E$65&gt;0,ROW($3:$65)),ROW(A7))),"")</f>
        <v/>
      </c>
      <c r="B13" s="332" t="str">
        <f t="array" ref="B13">IFERROR(INDEX('Konventionell (2)'!E:E,SMALL(IF('Konventionell (2)'!$E$3:$E$65&gt;0,ROW($3:$65)),ROW(A7))),"")</f>
        <v/>
      </c>
      <c r="C13" s="333" t="str">
        <f t="array" ref="C13">IFERROR(INDEX('Konventionell (2)'!F:F,SMALL(IF('Konventionell (2)'!$E$3:$E$65&gt;0,ROW($3:$65)),ROW(A7))),"")</f>
        <v/>
      </c>
      <c r="D13" s="334" t="str">
        <f t="array" ref="D13">IFERROR(INDEX('Konventionell (2)'!G:G,SMALL(IF('Konventionell (2)'!$E$3:$E$65&gt;0,ROW($3:$65)),ROW(A7))),"")</f>
        <v/>
      </c>
      <c r="E13" s="332" t="str">
        <f t="array" ref="E13">IFERROR(INDEX('Konventionell (2)'!H:H,SMALL(IF('Konventionell (2)'!$E$3:$E$65&gt;0,ROW($3:$65)),ROW(A7))),"")</f>
        <v/>
      </c>
      <c r="F13" s="250" t="str">
        <f>IF(A13="","",C13*'Begr.-Rechner int. Prod.'!$I$2)</f>
        <v/>
      </c>
      <c r="G13" s="144" t="str">
        <f>IFERROR(VLOOKUP(A13,'Konventionell (2)'!$A$3:$I$68,9,0),"")</f>
        <v/>
      </c>
      <c r="H13" s="476"/>
      <c r="I13" s="478"/>
      <c r="O13" s="202">
        <f t="shared" si="0"/>
        <v>0</v>
      </c>
    </row>
    <row r="14" spans="1:15" ht="24.95" customHeight="1" x14ac:dyDescent="0.2">
      <c r="A14" s="331" t="str">
        <f t="array" ref="A14">IFERROR(INDEX('Konventionell (2)'!A:A,SMALL(IF('Konventionell (2)'!$E$3:$E$65&gt;0,ROW($3:$65)),ROW(A8))),"")</f>
        <v/>
      </c>
      <c r="B14" s="332" t="str">
        <f t="array" ref="B14">IFERROR(INDEX('Konventionell (2)'!E:E,SMALL(IF('Konventionell (2)'!$E$3:$E$65&gt;0,ROW($3:$65)),ROW(A8))),"")</f>
        <v/>
      </c>
      <c r="C14" s="333" t="str">
        <f t="array" ref="C14">IFERROR(INDEX('Konventionell (2)'!F:F,SMALL(IF('Konventionell (2)'!$E$3:$E$65&gt;0,ROW($3:$65)),ROW(A8))),"")</f>
        <v/>
      </c>
      <c r="D14" s="334" t="str">
        <f t="array" ref="D14">IFERROR(INDEX('Konventionell (2)'!G:G,SMALL(IF('Konventionell (2)'!$E$3:$E$65&gt;0,ROW($3:$65)),ROW(A8))),"")</f>
        <v/>
      </c>
      <c r="E14" s="332" t="str">
        <f t="array" ref="E14">IFERROR(INDEX('Konventionell (2)'!H:H,SMALL(IF('Konventionell (2)'!$E$3:$E$65&gt;0,ROW($3:$65)),ROW(A8))),"")</f>
        <v/>
      </c>
      <c r="F14" s="250" t="str">
        <f>IF(A14="","",C14*'Begr.-Rechner int. Prod.'!$I$2)</f>
        <v/>
      </c>
      <c r="G14" s="144" t="str">
        <f>IFERROR(VLOOKUP(A14,'Konventionell (2)'!$A$3:$I$68,9,0),"")</f>
        <v/>
      </c>
      <c r="H14" s="476"/>
      <c r="I14" s="478"/>
      <c r="O14" s="202">
        <f t="shared" si="0"/>
        <v>0</v>
      </c>
    </row>
    <row r="15" spans="1:15" ht="24.95" customHeight="1" x14ac:dyDescent="0.2">
      <c r="A15" s="331" t="str">
        <f t="array" ref="A15">IFERROR(INDEX('Konventionell (2)'!A:A,SMALL(IF('Konventionell (2)'!$E$3:$E$65&gt;0,ROW($3:$65)),ROW(A9))),"")</f>
        <v/>
      </c>
      <c r="B15" s="332" t="str">
        <f t="array" ref="B15">IFERROR(INDEX('Konventionell (2)'!E:E,SMALL(IF('Konventionell (2)'!$E$3:$E$65&gt;0,ROW($3:$65)),ROW(A9))),"")</f>
        <v/>
      </c>
      <c r="C15" s="333" t="str">
        <f t="array" ref="C15">IFERROR(INDEX('Konventionell (2)'!F:F,SMALL(IF('Konventionell (2)'!$E$3:$E$65&gt;0,ROW($3:$65)),ROW(A9))),"")</f>
        <v/>
      </c>
      <c r="D15" s="334" t="str">
        <f t="array" ref="D15">IFERROR(INDEX('Konventionell (2)'!G:G,SMALL(IF('Konventionell (2)'!$E$3:$E$65&gt;0,ROW($3:$65)),ROW(A9))),"")</f>
        <v/>
      </c>
      <c r="E15" s="332" t="str">
        <f t="array" ref="E15">IFERROR(INDEX('Konventionell (2)'!H:H,SMALL(IF('Konventionell (2)'!$E$3:$E$65&gt;0,ROW($3:$65)),ROW(A9))),"")</f>
        <v/>
      </c>
      <c r="F15" s="250" t="str">
        <f>IF(A15="","",C15*'Begr.-Rechner int. Prod.'!$I$2)</f>
        <v/>
      </c>
      <c r="G15" s="144" t="str">
        <f>IFERROR(VLOOKUP(A15,'Konventionell (2)'!$A$3:$I$68,9,0),"")</f>
        <v/>
      </c>
      <c r="H15" s="476"/>
      <c r="I15" s="478"/>
      <c r="O15" s="202">
        <f t="shared" si="0"/>
        <v>0</v>
      </c>
    </row>
    <row r="16" spans="1:15" ht="24.95" customHeight="1" thickBot="1" x14ac:dyDescent="0.25">
      <c r="A16" s="331" t="str">
        <f t="array" ref="A16">IFERROR(INDEX('Konventionell (2)'!A:A,SMALL(IF('Konventionell (2)'!$E$3:$E$65&gt;0,ROW($3:$65)),ROW(A10))),"")</f>
        <v/>
      </c>
      <c r="B16" s="332" t="str">
        <f t="array" ref="B16">IFERROR(INDEX('Konventionell (2)'!E:E,SMALL(IF('Konventionell (2)'!$E$3:$E$65&gt;0,ROW($3:$65)),ROW(A10))),"")</f>
        <v/>
      </c>
      <c r="C16" s="333" t="str">
        <f t="array" ref="C16">IFERROR(INDEX('Konventionell (2)'!F:F,SMALL(IF('Konventionell (2)'!$E$3:$E$65&gt;0,ROW($3:$65)),ROW(A10))),"")</f>
        <v/>
      </c>
      <c r="D16" s="334" t="str">
        <f t="array" ref="D16">IFERROR(INDEX('Konventionell (2)'!G:G,SMALL(IF('Konventionell (2)'!$E$3:$E$65&gt;0,ROW($3:$65)),ROW(A10))),"")</f>
        <v/>
      </c>
      <c r="E16" s="332" t="str">
        <f t="array" ref="E16">IFERROR(INDEX('Konventionell (2)'!H:H,SMALL(IF('Konventionell (2)'!$E$3:$E$65&gt;0,ROW($3:$65)),ROW(A10))),"")</f>
        <v/>
      </c>
      <c r="F16" s="250" t="str">
        <f>IF(A16="","",C16*'Begr.-Rechner int. Prod.'!$I$2)</f>
        <v/>
      </c>
      <c r="G16" s="144" t="str">
        <f>IFERROR(VLOOKUP(A16,'Konventionell (2)'!$A$3:$I$68,9,0),"")</f>
        <v/>
      </c>
      <c r="H16" s="523"/>
      <c r="I16" s="524"/>
      <c r="O16" s="202">
        <f t="shared" si="0"/>
        <v>0</v>
      </c>
    </row>
    <row r="17" spans="1:16" ht="24.95" customHeight="1" x14ac:dyDescent="0.2">
      <c r="A17" s="331" t="str">
        <f t="array" ref="A17">IFERROR(INDEX('Konventionell (2)'!A:A,SMALL(IF('Konventionell (2)'!$E$3:$E$65&gt;0,ROW($3:$65)),ROW(A11))),"")</f>
        <v/>
      </c>
      <c r="B17" s="332" t="str">
        <f t="array" ref="B17">IFERROR(INDEX('Konventionell (2)'!E:E,SMALL(IF('Konventionell (2)'!$E$3:$E$65&gt;0,ROW($3:$65)),ROW(A11))),"")</f>
        <v/>
      </c>
      <c r="C17" s="333" t="str">
        <f t="array" ref="C17">IFERROR(INDEX('Konventionell (2)'!F:F,SMALL(IF('Konventionell (2)'!$E$3:$E$65&gt;0,ROW($3:$65)),ROW(A11))),"")</f>
        <v/>
      </c>
      <c r="D17" s="334" t="str">
        <f t="array" ref="D17">IFERROR(INDEX('Konventionell (2)'!G:G,SMALL(IF('Konventionell (2)'!$E$3:$E$65&gt;0,ROW($3:$65)),ROW(A11))),"")</f>
        <v/>
      </c>
      <c r="E17" s="332" t="str">
        <f t="array" ref="E17">IFERROR(INDEX('Konventionell (2)'!H:H,SMALL(IF('Konventionell (2)'!$E$3:$E$65&gt;0,ROW($3:$65)),ROW(A11))),"")</f>
        <v/>
      </c>
      <c r="F17" s="250" t="str">
        <f>IF(A17="","",C17*'Begr.-Rechner int. Prod.'!$I$2)</f>
        <v/>
      </c>
      <c r="G17" s="144" t="str">
        <f>IFERROR(VLOOKUP(A17,'Konventionell (2)'!$A$3:$I$68,9,0),"")</f>
        <v/>
      </c>
      <c r="H17" s="144"/>
      <c r="I17" s="144"/>
      <c r="O17" s="202">
        <f t="shared" si="0"/>
        <v>0</v>
      </c>
    </row>
    <row r="18" spans="1:16" ht="24.95" customHeight="1" x14ac:dyDescent="0.2">
      <c r="A18" s="331" t="str">
        <f t="array" ref="A18">IFERROR(INDEX('Konventionell (2)'!A:A,SMALL(IF('Konventionell (2)'!$E$3:$E$65&gt;0,ROW($3:$65)),ROW(A12))),"")</f>
        <v/>
      </c>
      <c r="B18" s="332" t="str">
        <f t="array" ref="B18">IFERROR(INDEX('Konventionell (2)'!E:E,SMALL(IF('Konventionell (2)'!$E$3:$E$65&gt;0,ROW($3:$65)),ROW(A12))),"")</f>
        <v/>
      </c>
      <c r="C18" s="333" t="str">
        <f t="array" ref="C18">IFERROR(INDEX('Konventionell (2)'!F:F,SMALL(IF('Konventionell (2)'!$E$3:$E$65&gt;0,ROW($3:$65)),ROW(A12))),"")</f>
        <v/>
      </c>
      <c r="D18" s="334" t="str">
        <f t="array" ref="D18">IFERROR(INDEX('Konventionell (2)'!G:G,SMALL(IF('Konventionell (2)'!$E$3:$E$65&gt;0,ROW($3:$65)),ROW(A12))),"")</f>
        <v/>
      </c>
      <c r="E18" s="332" t="str">
        <f t="array" ref="E18">IFERROR(INDEX('Konventionell (2)'!H:H,SMALL(IF('Konventionell (2)'!$E$3:$E$65&gt;0,ROW($3:$65)),ROW(A12))),"")</f>
        <v/>
      </c>
      <c r="F18" s="250" t="str">
        <f>IF(A18="","",C18*'Begr.-Rechner int. Prod.'!$I$2)</f>
        <v/>
      </c>
      <c r="G18" s="144" t="str">
        <f>IFERROR(VLOOKUP(A18,'Konventionell (2)'!$A$3:$I$68,9,0),"")</f>
        <v/>
      </c>
      <c r="H18" s="144"/>
      <c r="I18" s="144"/>
      <c r="O18" s="202">
        <f t="shared" si="0"/>
        <v>0</v>
      </c>
    </row>
    <row r="19" spans="1:16" ht="24.95" customHeight="1" x14ac:dyDescent="0.2">
      <c r="A19" s="331" t="str">
        <f t="array" ref="A19">IFERROR(INDEX('Konventionell (2)'!A:A,SMALL(IF('Konventionell (2)'!$E$3:$E$65&gt;0,ROW($3:$65)),ROW(A13))),"")</f>
        <v/>
      </c>
      <c r="B19" s="332" t="str">
        <f t="array" ref="B19">IFERROR(INDEX('Konventionell (2)'!E:E,SMALL(IF('Konventionell (2)'!$E$3:$E$65&gt;0,ROW($3:$65)),ROW(A13))),"")</f>
        <v/>
      </c>
      <c r="C19" s="333" t="str">
        <f t="array" ref="C19">IFERROR(INDEX('Konventionell (2)'!F:F,SMALL(IF('Konventionell (2)'!$E$3:$E$65&gt;0,ROW($3:$65)),ROW(A13))),"")</f>
        <v/>
      </c>
      <c r="D19" s="334" t="str">
        <f t="array" ref="D19">IFERROR(INDEX('Konventionell (2)'!G:G,SMALL(IF('Konventionell (2)'!$E$3:$E$65&gt;0,ROW($3:$65)),ROW(A13))),"")</f>
        <v/>
      </c>
      <c r="E19" s="332" t="str">
        <f t="array" ref="E19">IFERROR(INDEX('Konventionell (2)'!H:H,SMALL(IF('Konventionell (2)'!$E$3:$E$65&gt;0,ROW($3:$65)),ROW(A13))),"")</f>
        <v/>
      </c>
      <c r="F19" s="250" t="str">
        <f>IF(A19="","",C19*'Begr.-Rechner int. Prod.'!$I$2)</f>
        <v/>
      </c>
      <c r="G19" s="144" t="str">
        <f>IFERROR(VLOOKUP(A19,'Konventionell (2)'!$A$3:$I$68,9,0),"")</f>
        <v/>
      </c>
      <c r="H19" s="144"/>
      <c r="I19" s="144"/>
      <c r="O19" s="202">
        <f t="shared" si="0"/>
        <v>0</v>
      </c>
    </row>
    <row r="20" spans="1:16" ht="24.95" customHeight="1" x14ac:dyDescent="0.2">
      <c r="A20" s="331" t="str">
        <f t="array" ref="A20">IFERROR(INDEX('Konventionell (2)'!A:A,SMALL(IF('Konventionell (2)'!$E$3:$E$65&gt;0,ROW($3:$65)),ROW(A14))),"")</f>
        <v/>
      </c>
      <c r="B20" s="332" t="str">
        <f t="array" ref="B20">IFERROR(INDEX('Konventionell (2)'!E:E,SMALL(IF('Konventionell (2)'!$E$3:$E$65&gt;0,ROW($3:$65)),ROW(A14))),"")</f>
        <v/>
      </c>
      <c r="C20" s="333" t="str">
        <f t="array" ref="C20">IFERROR(INDEX('Konventionell (2)'!F:F,SMALL(IF('Konventionell (2)'!$E$3:$E$65&gt;0,ROW($3:$65)),ROW(A14))),"")</f>
        <v/>
      </c>
      <c r="D20" s="334" t="str">
        <f t="array" ref="D20">IFERROR(INDEX('Konventionell (2)'!G:G,SMALL(IF('Konventionell (2)'!$E$3:$E$65&gt;0,ROW($3:$65)),ROW(A14))),"")</f>
        <v/>
      </c>
      <c r="E20" s="332" t="str">
        <f t="array" ref="E20">IFERROR(INDEX('Konventionell (2)'!H:H,SMALL(IF('Konventionell (2)'!$E$3:$E$65&gt;0,ROW($3:$65)),ROW(A14))),"")</f>
        <v/>
      </c>
      <c r="F20" s="250" t="str">
        <f>IF(A20="","",C20*'Begr.-Rechner int. Prod.'!$I$2)</f>
        <v/>
      </c>
      <c r="G20" s="144" t="str">
        <f>IFERROR(VLOOKUP(A20,'Konventionell (2)'!$A$3:$I$68,9,0),"")</f>
        <v/>
      </c>
      <c r="H20" s="144"/>
      <c r="I20" s="144"/>
      <c r="O20" s="202">
        <f t="shared" si="0"/>
        <v>0</v>
      </c>
    </row>
    <row r="21" spans="1:16" ht="24.95" customHeight="1" x14ac:dyDescent="0.2">
      <c r="A21" s="331" t="str">
        <f t="array" ref="A21">IFERROR(INDEX('Konventionell (2)'!A:A,SMALL(IF('Konventionell (2)'!$E$3:$E$65&gt;0,ROW($3:$65)),ROW(A15))),"")</f>
        <v/>
      </c>
      <c r="B21" s="332" t="str">
        <f t="array" ref="B21">IFERROR(INDEX('Konventionell (2)'!E:E,SMALL(IF('Konventionell (2)'!$E$3:$E$65&gt;0,ROW($3:$65)),ROW(A15))),"")</f>
        <v/>
      </c>
      <c r="C21" s="333" t="str">
        <f t="array" ref="C21">IFERROR(INDEX('Konventionell (2)'!F:F,SMALL(IF('Konventionell (2)'!$E$3:$E$65&gt;0,ROW($3:$65)),ROW(A15))),"")</f>
        <v/>
      </c>
      <c r="D21" s="334" t="str">
        <f t="array" ref="D21">IFERROR(INDEX('Konventionell (2)'!G:G,SMALL(IF('Konventionell (2)'!$E$3:$E$65&gt;0,ROW($3:$65)),ROW(A15))),"")</f>
        <v/>
      </c>
      <c r="E21" s="332" t="str">
        <f t="array" ref="E21">IFERROR(INDEX('Konventionell (2)'!H:H,SMALL(IF('Konventionell (2)'!$E$3:$E$65&gt;0,ROW($3:$65)),ROW(A15))),"")</f>
        <v/>
      </c>
      <c r="F21" s="250" t="str">
        <f>IF(A21="","",C21*'Begr.-Rechner int. Prod.'!$I$2)</f>
        <v/>
      </c>
      <c r="G21" s="144" t="str">
        <f>IFERROR(VLOOKUP(A21,'Konventionell (2)'!$A$3:$I$68,9,0),"")</f>
        <v/>
      </c>
      <c r="H21" s="144"/>
      <c r="I21" s="144"/>
      <c r="O21" s="202">
        <f t="shared" si="0"/>
        <v>0</v>
      </c>
    </row>
    <row r="22" spans="1:16" ht="24.95" customHeight="1" x14ac:dyDescent="0.2">
      <c r="A22" s="331" t="str">
        <f t="array" ref="A22">IFERROR(INDEX('Konventionell (2)'!A:A,SMALL(IF('Konventionell (2)'!$E$3:$E$65&gt;0,ROW($3:$65)),ROW(A16))),"")</f>
        <v/>
      </c>
      <c r="B22" s="332" t="str">
        <f t="array" ref="B22">IFERROR(INDEX('Konventionell (2)'!E:E,SMALL(IF('Konventionell (2)'!$E$3:$E$65&gt;0,ROW($3:$65)),ROW(A16))),"")</f>
        <v/>
      </c>
      <c r="C22" s="333" t="str">
        <f t="array" ref="C22">IFERROR(INDEX('Konventionell (2)'!F:F,SMALL(IF('Konventionell (2)'!$E$3:$E$65&gt;0,ROW($3:$65)),ROW(A16))),"")</f>
        <v/>
      </c>
      <c r="D22" s="334" t="str">
        <f t="array" ref="D22">IFERROR(INDEX('Konventionell (2)'!G:G,SMALL(IF('Konventionell (2)'!$E$3:$E$65&gt;0,ROW($3:$65)),ROW(A16))),"")</f>
        <v/>
      </c>
      <c r="E22" s="332" t="str">
        <f t="array" ref="E22">IFERROR(INDEX('Konventionell (2)'!H:H,SMALL(IF('Konventionell (2)'!$E$3:$E$65&gt;0,ROW($3:$65)),ROW(A16))),"")</f>
        <v/>
      </c>
      <c r="F22" s="250" t="str">
        <f>IF(A22="","",C22*'Begr.-Rechner int. Prod.'!$I$2)</f>
        <v/>
      </c>
      <c r="G22" s="144" t="str">
        <f>IFERROR(VLOOKUP(A22,'Konventionell (2)'!$A$3:$I$68,9,0),"")</f>
        <v/>
      </c>
      <c r="H22" s="144"/>
      <c r="I22" s="144"/>
      <c r="O22" s="202">
        <f t="shared" si="0"/>
        <v>0</v>
      </c>
    </row>
    <row r="23" spans="1:16" ht="24.95" customHeight="1" x14ac:dyDescent="0.2">
      <c r="A23" s="331" t="str">
        <f t="array" ref="A23">IFERROR(INDEX('Konventionell (2)'!A:A,SMALL(IF('Konventionell (2)'!$E$3:$E$65&gt;0,ROW($3:$65)),ROW(A17))),"")</f>
        <v/>
      </c>
      <c r="B23" s="332" t="str">
        <f t="array" ref="B23">IFERROR(INDEX('Konventionell (2)'!E:E,SMALL(IF('Konventionell (2)'!$E$3:$E$65&gt;0,ROW($3:$65)),ROW(A17))),"")</f>
        <v/>
      </c>
      <c r="C23" s="333" t="str">
        <f t="array" ref="C23">IFERROR(INDEX('Konventionell (2)'!F:F,SMALL(IF('Konventionell (2)'!$E$3:$E$65&gt;0,ROW($3:$65)),ROW(A17))),"")</f>
        <v/>
      </c>
      <c r="D23" s="334" t="str">
        <f t="array" ref="D23">IFERROR(INDEX('Konventionell (2)'!G:G,SMALL(IF('Konventionell (2)'!$E$3:$E$65&gt;0,ROW($3:$65)),ROW(A17))),"")</f>
        <v/>
      </c>
      <c r="E23" s="332" t="str">
        <f t="array" ref="E23">IFERROR(INDEX('Konventionell (2)'!H:H,SMALL(IF('Konventionell (2)'!$E$3:$E$65&gt;0,ROW($3:$65)),ROW(A17))),"")</f>
        <v/>
      </c>
      <c r="F23" s="250" t="str">
        <f>IF(A23="","",C23*'Begr.-Rechner int. Prod.'!$I$2)</f>
        <v/>
      </c>
      <c r="G23" s="144" t="str">
        <f>IFERROR(VLOOKUP(A23,'Konventionell (2)'!$A$3:$I$68,9,0),"")</f>
        <v/>
      </c>
      <c r="H23" s="144"/>
      <c r="I23" s="144"/>
      <c r="O23" s="202">
        <f t="shared" si="0"/>
        <v>0</v>
      </c>
    </row>
    <row r="24" spans="1:16" ht="24.95" customHeight="1" x14ac:dyDescent="0.2">
      <c r="A24" s="331" t="str">
        <f t="array" ref="A24">IFERROR(INDEX('Konventionell (2)'!A:A,SMALL(IF('Konventionell (2)'!$E$3:$E$65&gt;0,ROW($3:$65)),ROW(A18))),"")</f>
        <v/>
      </c>
      <c r="B24" s="332" t="str">
        <f t="array" ref="B24">IFERROR(INDEX('Konventionell (2)'!E:E,SMALL(IF('Konventionell (2)'!$E$3:$E$65&gt;0,ROW($3:$65)),ROW(A18))),"")</f>
        <v/>
      </c>
      <c r="C24" s="333" t="str">
        <f t="array" ref="C24">IFERROR(INDEX('Konventionell (2)'!F:F,SMALL(IF('Konventionell (2)'!$E$3:$E$65&gt;0,ROW($3:$65)),ROW(A18))),"")</f>
        <v/>
      </c>
      <c r="D24" s="334" t="str">
        <f t="array" ref="D24">IFERROR(INDEX('Konventionell (2)'!G:G,SMALL(IF('Konventionell (2)'!$E$3:$E$65&gt;0,ROW($3:$65)),ROW(A18))),"")</f>
        <v/>
      </c>
      <c r="E24" s="332" t="str">
        <f t="array" ref="E24">IFERROR(INDEX('Konventionell (2)'!H:H,SMALL(IF('Konventionell (2)'!$E$3:$E$65&gt;0,ROW($3:$65)),ROW(A18))),"")</f>
        <v/>
      </c>
      <c r="F24" s="250" t="str">
        <f>IF(A24="","",C24*'Begr.-Rechner int. Prod.'!$I$2)</f>
        <v/>
      </c>
      <c r="G24" s="144" t="str">
        <f>IFERROR(VLOOKUP(A24,'Konventionell (2)'!$A$3:$I$68,9,0),"")</f>
        <v/>
      </c>
      <c r="H24" s="144"/>
      <c r="I24" s="144"/>
      <c r="O24" s="202">
        <f t="shared" si="0"/>
        <v>0</v>
      </c>
    </row>
    <row r="25" spans="1:16" ht="24.95" customHeight="1" x14ac:dyDescent="0.2">
      <c r="A25" s="331" t="str">
        <f t="array" ref="A25">IFERROR(INDEX('Konventionell (2)'!A:A,SMALL(IF('Konventionell (2)'!$E$3:$E$65&gt;0,ROW($3:$65)),ROW(A19))),"")</f>
        <v/>
      </c>
      <c r="B25" s="332" t="str">
        <f t="array" ref="B25">IFERROR(INDEX('Konventionell (2)'!E:E,SMALL(IF('Konventionell (2)'!$E$3:$E$65&gt;0,ROW($3:$65)),ROW(A19))),"")</f>
        <v/>
      </c>
      <c r="C25" s="333" t="str">
        <f t="array" ref="C25">IFERROR(INDEX('Konventionell (2)'!F:F,SMALL(IF('Konventionell (2)'!$E$3:$E$65&gt;0,ROW($3:$65)),ROW(A19))),"")</f>
        <v/>
      </c>
      <c r="D25" s="334" t="str">
        <f t="array" ref="D25">IFERROR(INDEX('Konventionell (2)'!G:G,SMALL(IF('Konventionell (2)'!$E$3:$E$65&gt;0,ROW($3:$65)),ROW(A19))),"")</f>
        <v/>
      </c>
      <c r="E25" s="332" t="str">
        <f t="array" ref="E25">IFERROR(INDEX('Konventionell (2)'!H:H,SMALL(IF('Konventionell (2)'!$E$3:$E$65&gt;0,ROW($3:$65)),ROW(A19))),"")</f>
        <v/>
      </c>
      <c r="F25" s="250" t="str">
        <f>IF(A25="","",C25*'Begr.-Rechner int. Prod.'!$I$2)</f>
        <v/>
      </c>
      <c r="G25" s="144" t="str">
        <f>IFERROR(VLOOKUP(A25,'Konventionell (2)'!$A$3:$I$68,9,0),"")</f>
        <v/>
      </c>
      <c r="H25" s="144"/>
      <c r="I25" s="144"/>
      <c r="O25" s="202">
        <f t="shared" si="0"/>
        <v>0</v>
      </c>
    </row>
    <row r="26" spans="1:16" ht="24.95" customHeight="1" x14ac:dyDescent="0.2">
      <c r="A26" s="331" t="str">
        <f t="array" ref="A26">IFERROR(INDEX('Konventionell (2)'!A:A,SMALL(IF('Konventionell (2)'!$E$3:$E$65&gt;0,ROW($3:$65)),ROW(A20))),"")</f>
        <v/>
      </c>
      <c r="B26" s="332" t="str">
        <f t="array" ref="B26">IFERROR(INDEX('Konventionell (2)'!E:E,SMALL(IF('Konventionell (2)'!$E$3:$E$65&gt;0,ROW($3:$65)),ROW(A20))),"")</f>
        <v/>
      </c>
      <c r="C26" s="333" t="str">
        <f t="array" ref="C26">IFERROR(INDEX('Konventionell (2)'!F:F,SMALL(IF('Konventionell (2)'!$E$3:$E$65&gt;0,ROW($3:$65)),ROW(A20))),"")</f>
        <v/>
      </c>
      <c r="D26" s="334" t="str">
        <f t="array" ref="D26">IFERROR(INDEX('Konventionell (2)'!G:G,SMALL(IF('Konventionell (2)'!$E$3:$E$65&gt;0,ROW($3:$65)),ROW(A20))),"")</f>
        <v/>
      </c>
      <c r="E26" s="332" t="str">
        <f t="array" ref="E26">IFERROR(INDEX('Konventionell (2)'!H:H,SMALL(IF('Konventionell (2)'!$E$3:$E$65&gt;0,ROW($3:$65)),ROW(A20))),"")</f>
        <v/>
      </c>
      <c r="F26" s="250" t="str">
        <f>IF(A26="","",C26*'Begr.-Rechner int. Prod.'!$I$2)</f>
        <v/>
      </c>
      <c r="G26" s="144" t="str">
        <f>IFERROR(VLOOKUP(A26,'Konventionell (2)'!$A$3:$I$68,9,0),"")</f>
        <v/>
      </c>
      <c r="H26" s="144"/>
      <c r="I26" s="144"/>
      <c r="O26" s="202">
        <f t="shared" si="0"/>
        <v>0</v>
      </c>
    </row>
    <row r="27" spans="1:16" ht="24.95" customHeight="1" x14ac:dyDescent="0.2">
      <c r="A27" s="331" t="str">
        <f t="array" ref="A27">IFERROR(INDEX('Konventionell (2)'!A:A,SMALL(IF('Konventionell (2)'!$E$3:$E$65&gt;0,ROW($3:$65)),ROW(A21))),"")</f>
        <v/>
      </c>
      <c r="B27" s="332" t="str">
        <f t="array" ref="B27">IFERROR(INDEX('Konventionell (2)'!E:E,SMALL(IF('Konventionell (2)'!$E$3:$E$65&gt;0,ROW($3:$65)),ROW(A21))),"")</f>
        <v/>
      </c>
      <c r="C27" s="333" t="str">
        <f t="array" ref="C27">IFERROR(INDEX('Konventionell (2)'!F:F,SMALL(IF('Konventionell (2)'!$E$3:$E$65&gt;0,ROW($3:$65)),ROW(A21))),"")</f>
        <v/>
      </c>
      <c r="D27" s="334" t="str">
        <f t="array" ref="D27">IFERROR(INDEX('Konventionell (2)'!G:G,SMALL(IF('Konventionell (2)'!$E$3:$E$65&gt;0,ROW($3:$65)),ROW(A21))),"")</f>
        <v/>
      </c>
      <c r="E27" s="332" t="str">
        <f t="array" ref="E27">IFERROR(INDEX('Konventionell (2)'!H:H,SMALL(IF('Konventionell (2)'!$E$3:$E$65&gt;0,ROW($3:$65)),ROW(A21))),"")</f>
        <v/>
      </c>
      <c r="F27" s="250" t="str">
        <f>IF(A27="","",C27*'Begr.-Rechner int. Prod.'!$I$2)</f>
        <v/>
      </c>
      <c r="G27" s="144" t="str">
        <f>IFERROR(VLOOKUP(A27,'Konventionell (2)'!$A$3:$I$68,9,0),"")</f>
        <v/>
      </c>
      <c r="H27" s="144"/>
      <c r="I27" s="144"/>
      <c r="O27" s="202">
        <f t="shared" si="0"/>
        <v>0</v>
      </c>
    </row>
    <row r="28" spans="1:16" ht="24.95" customHeight="1" x14ac:dyDescent="0.2">
      <c r="A28" s="331" t="str">
        <f t="array" ref="A28">IFERROR(INDEX('Konventionell (2)'!A:A,SMALL(IF('Konventionell (2)'!$E$3:$E$65&gt;0,ROW($3:$65)),ROW(A22))),"")</f>
        <v/>
      </c>
      <c r="B28" s="332" t="str">
        <f t="array" ref="B28">IFERROR(INDEX('Konventionell (2)'!E:E,SMALL(IF('Konventionell (2)'!$E$3:$E$65&gt;0,ROW($3:$65)),ROW(A22))),"")</f>
        <v/>
      </c>
      <c r="C28" s="333" t="str">
        <f t="array" ref="C28">IFERROR(INDEX('Konventionell (2)'!F:F,SMALL(IF('Konventionell (2)'!$E$3:$E$65&gt;0,ROW($3:$65)),ROW(A22))),"")</f>
        <v/>
      </c>
      <c r="D28" s="334" t="str">
        <f t="array" ref="D28">IFERROR(INDEX('Konventionell (2)'!G:G,SMALL(IF('Konventionell (2)'!$E$3:$E$65&gt;0,ROW($3:$65)),ROW(A22))),"")</f>
        <v/>
      </c>
      <c r="E28" s="332" t="str">
        <f t="array" ref="E28">IFERROR(INDEX('Konventionell (2)'!H:H,SMALL(IF('Konventionell (2)'!$E$3:$E$65&gt;0,ROW($3:$65)),ROW(A22))),"")</f>
        <v/>
      </c>
      <c r="F28" s="250" t="str">
        <f>IF(A28="","",C28*'Begr.-Rechner int. Prod.'!$I$2)</f>
        <v/>
      </c>
      <c r="G28" s="144" t="str">
        <f>IFERROR(VLOOKUP(A28,'Konventionell (2)'!$A$3:$I$68,9,0),"")</f>
        <v/>
      </c>
      <c r="H28" s="144"/>
      <c r="I28" s="144"/>
      <c r="O28" s="202">
        <f t="shared" si="0"/>
        <v>0</v>
      </c>
      <c r="P28" s="202"/>
    </row>
    <row r="29" spans="1:16" ht="24.95" customHeight="1" x14ac:dyDescent="0.2">
      <c r="A29" s="331" t="str">
        <f t="array" ref="A29">IFERROR(INDEX('Konventionell (2)'!A:A,SMALL(IF('Konventionell (2)'!$E$3:$E$65&gt;0,ROW($3:$65)),ROW(A23))),"")</f>
        <v/>
      </c>
      <c r="B29" s="332" t="str">
        <f t="array" ref="B29">IFERROR(INDEX('Konventionell (2)'!E:E,SMALL(IF('Konventionell (2)'!$E$3:$E$65&gt;0,ROW($3:$65)),ROW(A23))),"")</f>
        <v/>
      </c>
      <c r="C29" s="333" t="str">
        <f t="array" ref="C29">IFERROR(INDEX('Konventionell (2)'!F:F,SMALL(IF('Konventionell (2)'!$E$3:$E$65&gt;0,ROW($3:$65)),ROW(A23))),"")</f>
        <v/>
      </c>
      <c r="D29" s="334" t="str">
        <f t="array" ref="D29">IFERROR(INDEX('Konventionell (2)'!G:G,SMALL(IF('Konventionell (2)'!$E$3:$E$65&gt;0,ROW($3:$65)),ROW(A23))),"")</f>
        <v/>
      </c>
      <c r="E29" s="332" t="str">
        <f t="array" ref="E29">IFERROR(INDEX('Konventionell (2)'!H:H,SMALL(IF('Konventionell (2)'!$E$3:$E$65&gt;0,ROW($3:$65)),ROW(A23))),"")</f>
        <v/>
      </c>
      <c r="F29" s="250" t="str">
        <f>IF(A29="","",C29*'Begr.-Rechner int. Prod.'!$I$2)</f>
        <v/>
      </c>
      <c r="G29" s="144" t="str">
        <f>IFERROR(VLOOKUP(A29,'Konventionell (2)'!$A$3:$I$68,9,0),"")</f>
        <v/>
      </c>
      <c r="H29" s="144"/>
      <c r="I29" s="144"/>
      <c r="O29" s="202">
        <f t="shared" si="0"/>
        <v>0</v>
      </c>
    </row>
    <row r="30" spans="1:16" ht="24.95" customHeight="1" x14ac:dyDescent="0.2">
      <c r="A30" s="331" t="str">
        <f t="array" ref="A30">IFERROR(INDEX('Konventionell (2)'!A:A,SMALL(IF('Konventionell (2)'!$E$3:$E$65&gt;0,ROW($3:$65)),ROW(A24))),"")</f>
        <v/>
      </c>
      <c r="B30" s="332" t="str">
        <f t="array" ref="B30">IFERROR(INDEX('Konventionell (2)'!E:E,SMALL(IF('Konventionell (2)'!$E$3:$E$65&gt;0,ROW($3:$65)),ROW(A24))),"")</f>
        <v/>
      </c>
      <c r="C30" s="333" t="str">
        <f t="array" ref="C30">IFERROR(INDEX('Konventionell (2)'!F:F,SMALL(IF('Konventionell (2)'!$E$3:$E$65&gt;0,ROW($3:$65)),ROW(A24))),"")</f>
        <v/>
      </c>
      <c r="D30" s="334" t="str">
        <f t="array" ref="D30">IFERROR(INDEX('Konventionell (2)'!G:G,SMALL(IF('Konventionell (2)'!$E$3:$E$65&gt;0,ROW($3:$65)),ROW(A24))),"")</f>
        <v/>
      </c>
      <c r="E30" s="332" t="str">
        <f t="array" ref="E30">IFERROR(INDEX('Konventionell (2)'!H:H,SMALL(IF('Konventionell (2)'!$E$3:$E$65&gt;0,ROW($3:$65)),ROW(A24))),"")</f>
        <v/>
      </c>
      <c r="F30" s="250" t="str">
        <f>IF(A30="","",C30*'Begr.-Rechner int. Prod.'!$I$2)</f>
        <v/>
      </c>
      <c r="G30" s="144" t="str">
        <f>IFERROR(VLOOKUP(A30,'Konventionell (2)'!$A$3:$I$68,9,0),"")</f>
        <v/>
      </c>
      <c r="H30" s="144"/>
      <c r="I30" s="144"/>
      <c r="O30" s="202">
        <f t="shared" si="0"/>
        <v>0</v>
      </c>
    </row>
    <row r="31" spans="1:16" ht="24.95" customHeight="1" x14ac:dyDescent="0.2">
      <c r="A31" s="331" t="str">
        <f t="array" ref="A31">IFERROR(INDEX('Konventionell (2)'!A:A,SMALL(IF('Konventionell (2)'!$E$3:$E$65&gt;0,ROW($3:$65)),ROW(A25))),"")</f>
        <v/>
      </c>
      <c r="B31" s="332" t="str">
        <f t="array" ref="B31">IFERROR(INDEX('Konventionell (2)'!E:E,SMALL(IF('Konventionell (2)'!$E$3:$E$65&gt;0,ROW($3:$65)),ROW(A25))),"")</f>
        <v/>
      </c>
      <c r="C31" s="333" t="str">
        <f t="array" ref="C31">IFERROR(INDEX('Konventionell (2)'!F:F,SMALL(IF('Konventionell (2)'!$E$3:$E$65&gt;0,ROW($3:$65)),ROW(A25))),"")</f>
        <v/>
      </c>
      <c r="D31" s="334" t="str">
        <f t="array" ref="D31">IFERROR(INDEX('Konventionell (2)'!G:G,SMALL(IF('Konventionell (2)'!$E$3:$E$65&gt;0,ROW($3:$65)),ROW(A25))),"")</f>
        <v/>
      </c>
      <c r="E31" s="332" t="str">
        <f t="array" ref="E31">IFERROR(INDEX('Konventionell (2)'!H:H,SMALL(IF('Konventionell (2)'!$E$3:$E$65&gt;0,ROW($3:$65)),ROW(A25))),"")</f>
        <v/>
      </c>
      <c r="F31" s="250" t="str">
        <f>IF(A31="","",C31*'Begr.-Rechner int. Prod.'!$I$2)</f>
        <v/>
      </c>
      <c r="G31" s="144" t="str">
        <f>IFERROR(VLOOKUP(A31,'Konventionell (2)'!$A$3:$I$68,9,0),"")</f>
        <v/>
      </c>
      <c r="H31" s="144"/>
      <c r="I31" s="144"/>
      <c r="O31" s="202">
        <f t="shared" si="0"/>
        <v>0</v>
      </c>
    </row>
    <row r="32" spans="1:16" ht="24.95" customHeight="1" x14ac:dyDescent="0.2">
      <c r="A32" s="331" t="str">
        <f t="array" ref="A32">IFERROR(INDEX('Konventionell (2)'!A:A,SMALL(IF('Konventionell (2)'!$E$3:$E$65&gt;0,ROW($3:$65)),ROW(A26))),"")</f>
        <v/>
      </c>
      <c r="B32" s="332" t="str">
        <f t="array" ref="B32">IFERROR(INDEX('Konventionell (2)'!E:E,SMALL(IF('Konventionell (2)'!$E$3:$E$65&gt;0,ROW($3:$65)),ROW(A26))),"")</f>
        <v/>
      </c>
      <c r="C32" s="333" t="str">
        <f t="array" ref="C32">IFERROR(INDEX('Konventionell (2)'!F:F,SMALL(IF('Konventionell (2)'!$E$3:$E$65&gt;0,ROW($3:$65)),ROW(A26))),"")</f>
        <v/>
      </c>
      <c r="D32" s="334" t="str">
        <f t="array" ref="D32">IFERROR(INDEX('Konventionell (2)'!G:G,SMALL(IF('Konventionell (2)'!$E$3:$E$65&gt;0,ROW($3:$65)),ROW(A26))),"")</f>
        <v/>
      </c>
      <c r="E32" s="332" t="str">
        <f t="array" ref="E32">IFERROR(INDEX('Konventionell (2)'!H:H,SMALL(IF('Konventionell (2)'!$E$3:$E$65&gt;0,ROW($3:$65)),ROW(A26))),"")</f>
        <v/>
      </c>
      <c r="F32" s="250" t="str">
        <f>IF(A32="","",C32*'Begr.-Rechner int. Prod.'!$I$2)</f>
        <v/>
      </c>
      <c r="G32" s="144" t="str">
        <f>IFERROR(VLOOKUP(A32,'Konventionell (2)'!$A$3:$I$68,9,0),"")</f>
        <v/>
      </c>
      <c r="H32" s="144"/>
      <c r="I32" s="144"/>
      <c r="O32" s="202">
        <f t="shared" si="0"/>
        <v>0</v>
      </c>
    </row>
    <row r="33" spans="1:16" ht="24.95" customHeight="1" x14ac:dyDescent="0.2">
      <c r="A33" s="331" t="str">
        <f t="array" ref="A33">IFERROR(INDEX('Konventionell (2)'!A:A,SMALL(IF('Konventionell (2)'!$E$3:$E$65&gt;0,ROW($3:$65)),ROW(A27))),"")</f>
        <v/>
      </c>
      <c r="B33" s="332" t="str">
        <f t="array" ref="B33">IFERROR(INDEX('Konventionell (2)'!E:E,SMALL(IF('Konventionell (2)'!$E$3:$E$65&gt;0,ROW($3:$65)),ROW(A27))),"")</f>
        <v/>
      </c>
      <c r="C33" s="333" t="str">
        <f t="array" ref="C33">IFERROR(INDEX('Konventionell (2)'!F:F,SMALL(IF('Konventionell (2)'!$E$3:$E$65&gt;0,ROW($3:$65)),ROW(A27))),"")</f>
        <v/>
      </c>
      <c r="D33" s="334" t="str">
        <f t="array" ref="D33">IFERROR(INDEX('Konventionell (2)'!G:G,SMALL(IF('Konventionell (2)'!$E$3:$E$65&gt;0,ROW($3:$65)),ROW(A27))),"")</f>
        <v/>
      </c>
      <c r="E33" s="332" t="str">
        <f t="array" ref="E33">IFERROR(INDEX('Konventionell (2)'!H:H,SMALL(IF('Konventionell (2)'!$E$3:$E$65&gt;0,ROW($3:$65)),ROW(A27))),"")</f>
        <v/>
      </c>
      <c r="F33" s="250" t="str">
        <f>IF(A33="","",C33*'Begr.-Rechner int. Prod.'!$I$2)</f>
        <v/>
      </c>
      <c r="G33" s="144" t="str">
        <f>IFERROR(VLOOKUP(A33,'Konventionell (2)'!$A$3:$I$68,9,0),"")</f>
        <v/>
      </c>
      <c r="H33" s="144"/>
      <c r="I33" s="144"/>
      <c r="O33" s="202">
        <f t="shared" si="0"/>
        <v>0</v>
      </c>
    </row>
    <row r="34" spans="1:16" ht="24.95" customHeight="1" x14ac:dyDescent="0.2">
      <c r="A34" s="331" t="str">
        <f t="array" ref="A34">IFERROR(INDEX('Konventionell (2)'!A:A,SMALL(IF('Konventionell (2)'!$E$3:$E$65&gt;0,ROW($3:$65)),ROW(A28))),"")</f>
        <v/>
      </c>
      <c r="B34" s="332" t="str">
        <f t="array" ref="B34">IFERROR(INDEX('Konventionell (2)'!E:E,SMALL(IF('Konventionell (2)'!$E$3:$E$65&gt;0,ROW($3:$65)),ROW(A28))),"")</f>
        <v/>
      </c>
      <c r="C34" s="333" t="str">
        <f t="array" ref="C34">IFERROR(INDEX('Konventionell (2)'!F:F,SMALL(IF('Konventionell (2)'!$E$3:$E$65&gt;0,ROW($3:$65)),ROW(A28))),"")</f>
        <v/>
      </c>
      <c r="D34" s="334" t="str">
        <f t="array" ref="D34">IFERROR(INDEX('Konventionell (2)'!G:G,SMALL(IF('Konventionell (2)'!$E$3:$E$65&gt;0,ROW($3:$65)),ROW(A28))),"")</f>
        <v/>
      </c>
      <c r="E34" s="332" t="str">
        <f t="array" ref="E34">IFERROR(INDEX('Konventionell (2)'!H:H,SMALL(IF('Konventionell (2)'!$E$3:$E$65&gt;0,ROW($3:$65)),ROW(A28))),"")</f>
        <v/>
      </c>
      <c r="F34" s="250" t="str">
        <f>IF(A34="","",C34*'Begr.-Rechner int. Prod.'!$I$2)</f>
        <v/>
      </c>
      <c r="G34" s="144" t="str">
        <f>IFERROR(VLOOKUP(A34,'Konventionell (2)'!$A$3:$I$68,9,0),"")</f>
        <v/>
      </c>
      <c r="H34" s="144"/>
      <c r="I34" s="144"/>
      <c r="O34" s="202">
        <f t="shared" si="0"/>
        <v>0</v>
      </c>
    </row>
    <row r="35" spans="1:16" ht="24.95" customHeight="1" x14ac:dyDescent="0.2">
      <c r="A35" s="331" t="str">
        <f t="array" ref="A35">IFERROR(INDEX('Konventionell (2)'!A:A,SMALL(IF('Konventionell (2)'!$E$3:$E$65&gt;0,ROW($3:$65)),ROW(A29))),"")</f>
        <v/>
      </c>
      <c r="B35" s="332" t="str">
        <f t="array" ref="B35">IFERROR(INDEX('Konventionell (2)'!E:E,SMALL(IF('Konventionell (2)'!$E$3:$E$65&gt;0,ROW($3:$65)),ROW(A29))),"")</f>
        <v/>
      </c>
      <c r="C35" s="333" t="str">
        <f t="array" ref="C35">IFERROR(INDEX('Konventionell (2)'!F:F,SMALL(IF('Konventionell (2)'!$E$3:$E$65&gt;0,ROW($3:$65)),ROW(A29))),"")</f>
        <v/>
      </c>
      <c r="D35" s="334" t="str">
        <f t="array" ref="D35">IFERROR(INDEX('Konventionell (2)'!G:G,SMALL(IF('Konventionell (2)'!$E$3:$E$65&gt;0,ROW($3:$65)),ROW(A29))),"")</f>
        <v/>
      </c>
      <c r="E35" s="332" t="str">
        <f t="array" ref="E35">IFERROR(INDEX('Konventionell (2)'!H:H,SMALL(IF('Konventionell (2)'!$E$3:$E$65&gt;0,ROW($3:$65)),ROW(A29))),"")</f>
        <v/>
      </c>
      <c r="F35" s="250" t="str">
        <f>IF(A35="","",C35*'Begr.-Rechner int. Prod.'!$I$2)</f>
        <v/>
      </c>
      <c r="G35" s="144" t="str">
        <f>IFERROR(VLOOKUP(A35,'Konventionell (2)'!$A$3:$I$68,9,0),"")</f>
        <v/>
      </c>
      <c r="H35" s="144"/>
      <c r="I35" s="144"/>
      <c r="O35" s="202">
        <f t="shared" si="0"/>
        <v>0</v>
      </c>
    </row>
    <row r="36" spans="1:16" ht="24.95" customHeight="1" x14ac:dyDescent="0.2">
      <c r="A36" s="331" t="str">
        <f t="array" ref="A36">IFERROR(INDEX('Konventionell (2)'!A:A,SMALL(IF('Konventionell (2)'!$E$3:$E$65&gt;0,ROW($3:$65)),ROW(A30))),"")</f>
        <v/>
      </c>
      <c r="B36" s="332" t="str">
        <f t="array" ref="B36">IFERROR(INDEX('Konventionell (2)'!E:E,SMALL(IF('Konventionell (2)'!$E$3:$E$65&gt;0,ROW($3:$65)),ROW(A30))),"")</f>
        <v/>
      </c>
      <c r="C36" s="333" t="str">
        <f t="array" ref="C36">IFERROR(INDEX('Konventionell (2)'!F:F,SMALL(IF('Konventionell (2)'!$E$3:$E$65&gt;0,ROW($3:$65)),ROW(A30))),"")</f>
        <v/>
      </c>
      <c r="D36" s="334" t="str">
        <f t="array" ref="D36">IFERROR(INDEX('Konventionell (2)'!G:G,SMALL(IF('Konventionell (2)'!$E$3:$E$65&gt;0,ROW($3:$65)),ROW(A30))),"")</f>
        <v/>
      </c>
      <c r="E36" s="332" t="str">
        <f t="array" ref="E36">IFERROR(INDEX('Konventionell (2)'!H:H,SMALL(IF('Konventionell (2)'!$E$3:$E$65&gt;0,ROW($3:$65)),ROW(A30))),"")</f>
        <v/>
      </c>
      <c r="F36" s="250" t="str">
        <f>IF(A36="","",C36*'Begr.-Rechner int. Prod.'!$I$2)</f>
        <v/>
      </c>
      <c r="G36" s="144" t="str">
        <f>IFERROR(VLOOKUP(A36,'Konventionell (2)'!$A$3:$I$68,9,0),"")</f>
        <v/>
      </c>
      <c r="H36" s="144"/>
      <c r="I36" s="144"/>
      <c r="O36" s="202">
        <f t="shared" si="0"/>
        <v>0</v>
      </c>
    </row>
    <row r="37" spans="1:16" ht="24.95" customHeight="1" x14ac:dyDescent="0.2">
      <c r="A37" s="331" t="str">
        <f t="array" ref="A37">IFERROR(INDEX('Konventionell (2)'!A:A,SMALL(IF('Konventionell (2)'!$E$3:$E$65&gt;0,ROW($3:$65)),ROW(A31))),"")</f>
        <v/>
      </c>
      <c r="B37" s="332" t="str">
        <f t="array" ref="B37">IFERROR(INDEX('Konventionell (2)'!E:E,SMALL(IF('Konventionell (2)'!$E$3:$E$65&gt;0,ROW($3:$65)),ROW(A31))),"")</f>
        <v/>
      </c>
      <c r="C37" s="333" t="str">
        <f t="array" ref="C37">IFERROR(INDEX('Konventionell (2)'!F:F,SMALL(IF('Konventionell (2)'!$E$3:$E$65&gt;0,ROW($3:$65)),ROW(A31))),"")</f>
        <v/>
      </c>
      <c r="D37" s="334" t="str">
        <f t="array" ref="D37">IFERROR(INDEX('Konventionell (2)'!G:G,SMALL(IF('Konventionell (2)'!$E$3:$E$65&gt;0,ROW($3:$65)),ROW(A31))),"")</f>
        <v/>
      </c>
      <c r="E37" s="332" t="str">
        <f t="array" ref="E37">IFERROR(INDEX('Konventionell (2)'!H:H,SMALL(IF('Konventionell (2)'!$E$3:$E$65&gt;0,ROW($3:$65)),ROW(A31))),"")</f>
        <v/>
      </c>
      <c r="F37" s="250" t="str">
        <f>IF(A37="","",C37*'Begr.-Rechner int. Prod.'!$I$2)</f>
        <v/>
      </c>
      <c r="G37" s="144" t="str">
        <f>IFERROR(VLOOKUP(A37,'Konventionell (2)'!$A$3:$I$68,9,0),"")</f>
        <v/>
      </c>
      <c r="H37" s="144"/>
      <c r="I37" s="144"/>
      <c r="O37" s="202">
        <f t="shared" si="0"/>
        <v>0</v>
      </c>
    </row>
    <row r="38" spans="1:16" ht="24.95" customHeight="1" x14ac:dyDescent="0.2">
      <c r="A38" s="331" t="str">
        <f t="array" ref="A38">IFERROR(INDEX('Konventionell (2)'!A:A,SMALL(IF('Konventionell (2)'!$E$3:$E$65&gt;0,ROW($3:$65)),ROW(A32))),"")</f>
        <v/>
      </c>
      <c r="B38" s="332" t="str">
        <f t="array" ref="B38">IFERROR(INDEX('Konventionell (2)'!E:E,SMALL(IF('Konventionell (2)'!$E$3:$E$65&gt;0,ROW($3:$65)),ROW(A32))),"")</f>
        <v/>
      </c>
      <c r="C38" s="333" t="str">
        <f t="array" ref="C38">IFERROR(INDEX('Konventionell (2)'!F:F,SMALL(IF('Konventionell (2)'!$E$3:$E$65&gt;0,ROW($3:$65)),ROW(A32))),"")</f>
        <v/>
      </c>
      <c r="D38" s="334" t="str">
        <f t="array" ref="D38">IFERROR(INDEX('Konventionell (2)'!G:G,SMALL(IF('Konventionell (2)'!$E$3:$E$65&gt;0,ROW($3:$65)),ROW(A32))),"")</f>
        <v/>
      </c>
      <c r="E38" s="332" t="str">
        <f t="array" ref="E38">IFERROR(INDEX('Konventionell (2)'!H:H,SMALL(IF('Konventionell (2)'!$E$3:$E$65&gt;0,ROW($3:$65)),ROW(A32))),"")</f>
        <v/>
      </c>
      <c r="F38" s="250" t="str">
        <f>IF(A38="","",C38*'Begr.-Rechner int. Prod.'!$I$2)</f>
        <v/>
      </c>
      <c r="G38" s="144" t="str">
        <f>IFERROR(VLOOKUP(A38,'Konventionell (2)'!$A$3:$I$68,9,0),"")</f>
        <v/>
      </c>
      <c r="H38" s="144"/>
      <c r="I38" s="144"/>
      <c r="O38" s="202">
        <f t="shared" si="0"/>
        <v>0</v>
      </c>
    </row>
    <row r="39" spans="1:16" ht="24.95" customHeight="1" thickBot="1" x14ac:dyDescent="0.25">
      <c r="A39" s="331" t="str">
        <f t="array" ref="A39">IFERROR(INDEX('Konventionell (2)'!A:A,SMALL(IF('Konventionell (2)'!$E$3:$E$65&gt;0,ROW($3:$65)),ROW(A33))),"")</f>
        <v/>
      </c>
      <c r="B39" s="332" t="str">
        <f t="array" ref="B39">IFERROR(INDEX('Konventionell (2)'!E:E,SMALL(IF('Konventionell (2)'!$E$3:$E$65&gt;0,ROW($3:$65)),ROW(A33))),"")</f>
        <v/>
      </c>
      <c r="C39" s="333" t="str">
        <f t="array" ref="C39">IFERROR(INDEX('Konventionell (2)'!F:F,SMALL(IF('Konventionell (2)'!$E$3:$E$65&gt;0,ROW($3:$65)),ROW(A33))),"")</f>
        <v/>
      </c>
      <c r="D39" s="334" t="str">
        <f t="array" ref="D39">IFERROR(INDEX('Konventionell (2)'!G:G,SMALL(IF('Konventionell (2)'!$E$3:$E$65&gt;0,ROW($3:$65)),ROW(A33))),"")</f>
        <v/>
      </c>
      <c r="E39" s="332" t="str">
        <f t="array" ref="E39">IFERROR(INDEX('Konventionell (2)'!H:H,SMALL(IF('Konventionell (2)'!$E$3:$E$65&gt;0,ROW($3:$65)),ROW(A33))),"")</f>
        <v/>
      </c>
      <c r="F39" s="250" t="str">
        <f>IF(A39="","",C39*'Begr.-Rechner int. Prod.'!$I$2)</f>
        <v/>
      </c>
      <c r="G39" s="144" t="str">
        <f>IFERROR(VLOOKUP(A39,'Konventionell (2)'!$A$3:$I$68,9,0),"")</f>
        <v/>
      </c>
      <c r="H39" s="144"/>
      <c r="I39" s="144"/>
      <c r="O39" s="202">
        <f t="shared" si="0"/>
        <v>0</v>
      </c>
    </row>
    <row r="40" spans="1:16" ht="15" thickBot="1" x14ac:dyDescent="0.25">
      <c r="G40" s="144"/>
      <c r="H40" s="144"/>
      <c r="I40" s="144"/>
      <c r="O40" s="227">
        <f>SUM(O7:O39)</f>
        <v>0</v>
      </c>
      <c r="P40" s="188" t="str">
        <f>IF(D4&lt;&gt;"",O40/D4,"")</f>
        <v/>
      </c>
    </row>
    <row r="41" spans="1:16" x14ac:dyDescent="0.2">
      <c r="G41" s="144"/>
      <c r="H41" s="144"/>
      <c r="I41" s="144"/>
    </row>
    <row r="42" spans="1:16" x14ac:dyDescent="0.2">
      <c r="G42" s="144"/>
      <c r="H42" s="144"/>
      <c r="I42" s="144"/>
    </row>
    <row r="43" spans="1:16" x14ac:dyDescent="0.2">
      <c r="G43" s="144"/>
      <c r="H43" s="144"/>
      <c r="I43" s="144"/>
    </row>
    <row r="44" spans="1:16" x14ac:dyDescent="0.2">
      <c r="G44" s="144"/>
      <c r="H44" s="144"/>
      <c r="I44" s="144"/>
    </row>
    <row r="45" spans="1:16" x14ac:dyDescent="0.2">
      <c r="G45" s="144"/>
      <c r="H45" s="144"/>
      <c r="I45" s="144"/>
    </row>
    <row r="46" spans="1:16" x14ac:dyDescent="0.2">
      <c r="G46" s="144"/>
      <c r="H46" s="144"/>
      <c r="I46" s="144"/>
    </row>
    <row r="47" spans="1:16" x14ac:dyDescent="0.2">
      <c r="G47" s="144"/>
      <c r="H47" s="144"/>
      <c r="I47" s="144"/>
    </row>
    <row r="48" spans="1:16" x14ac:dyDescent="0.2">
      <c r="G48" s="144"/>
      <c r="H48" s="144"/>
      <c r="I48" s="144"/>
    </row>
    <row r="49" spans="7:9" x14ac:dyDescent="0.2">
      <c r="G49" s="144"/>
      <c r="H49" s="144"/>
      <c r="I49" s="144"/>
    </row>
    <row r="50" spans="7:9" x14ac:dyDescent="0.2">
      <c r="G50" s="144"/>
      <c r="H50" s="144"/>
      <c r="I50" s="144"/>
    </row>
    <row r="51" spans="7:9" x14ac:dyDescent="0.2">
      <c r="G51" s="144"/>
      <c r="H51" s="144"/>
      <c r="I51" s="144"/>
    </row>
    <row r="52" spans="7:9" x14ac:dyDescent="0.2">
      <c r="G52" s="144"/>
      <c r="H52" s="144"/>
      <c r="I52" s="144"/>
    </row>
    <row r="53" spans="7:9" x14ac:dyDescent="0.2">
      <c r="G53" s="144"/>
      <c r="H53" s="144"/>
      <c r="I53" s="144"/>
    </row>
    <row r="54" spans="7:9" x14ac:dyDescent="0.2">
      <c r="G54" s="144"/>
      <c r="H54" s="144"/>
      <c r="I54" s="144"/>
    </row>
    <row r="55" spans="7:9" x14ac:dyDescent="0.2">
      <c r="G55" s="144"/>
      <c r="H55" s="144"/>
      <c r="I55" s="144"/>
    </row>
    <row r="56" spans="7:9" x14ac:dyDescent="0.2">
      <c r="G56" s="144"/>
      <c r="H56" s="144"/>
      <c r="I56" s="144"/>
    </row>
    <row r="57" spans="7:9" x14ac:dyDescent="0.2">
      <c r="G57" s="144"/>
      <c r="H57" s="144"/>
      <c r="I57" s="144"/>
    </row>
    <row r="58" spans="7:9" x14ac:dyDescent="0.2">
      <c r="G58" s="144"/>
      <c r="H58" s="144"/>
      <c r="I58" s="144"/>
    </row>
    <row r="59" spans="7:9" x14ac:dyDescent="0.2">
      <c r="G59" s="144"/>
      <c r="H59" s="144"/>
      <c r="I59" s="144"/>
    </row>
    <row r="60" spans="7:9" x14ac:dyDescent="0.2">
      <c r="G60" s="144"/>
      <c r="H60" s="144"/>
      <c r="I60" s="144"/>
    </row>
    <row r="61" spans="7:9" x14ac:dyDescent="0.2">
      <c r="G61" s="144"/>
      <c r="H61" s="144"/>
      <c r="I61" s="144"/>
    </row>
    <row r="62" spans="7:9" x14ac:dyDescent="0.2">
      <c r="G62" s="144"/>
      <c r="H62" s="144"/>
      <c r="I62" s="144"/>
    </row>
    <row r="63" spans="7:9" x14ac:dyDescent="0.2">
      <c r="G63" s="144"/>
      <c r="H63" s="144"/>
      <c r="I63" s="144"/>
    </row>
    <row r="64" spans="7:9" x14ac:dyDescent="0.2">
      <c r="G64" s="144"/>
      <c r="H64" s="144"/>
      <c r="I64" s="144"/>
    </row>
    <row r="65" spans="7:9" x14ac:dyDescent="0.2">
      <c r="G65" s="144"/>
      <c r="H65" s="144"/>
      <c r="I65" s="144"/>
    </row>
    <row r="66" spans="7:9" x14ac:dyDescent="0.2">
      <c r="G66" s="144"/>
      <c r="H66" s="144"/>
      <c r="I66" s="144"/>
    </row>
    <row r="67" spans="7:9" x14ac:dyDescent="0.2">
      <c r="G67" s="144"/>
      <c r="H67" s="144"/>
      <c r="I67" s="144"/>
    </row>
    <row r="68" spans="7:9" x14ac:dyDescent="0.2">
      <c r="G68" s="144"/>
      <c r="H68" s="144"/>
      <c r="I68" s="144"/>
    </row>
    <row r="69" spans="7:9" x14ac:dyDescent="0.2">
      <c r="G69" s="144"/>
      <c r="H69" s="144"/>
      <c r="I69" s="144"/>
    </row>
    <row r="70" spans="7:9" x14ac:dyDescent="0.2">
      <c r="G70" s="144"/>
      <c r="H70" s="144"/>
      <c r="I70" s="144"/>
    </row>
    <row r="71" spans="7:9" x14ac:dyDescent="0.2">
      <c r="G71" s="144"/>
      <c r="H71" s="144"/>
      <c r="I71" s="144"/>
    </row>
    <row r="72" spans="7:9" x14ac:dyDescent="0.2">
      <c r="G72" s="144"/>
      <c r="H72" s="144"/>
      <c r="I72" s="144"/>
    </row>
    <row r="73" spans="7:9" x14ac:dyDescent="0.2">
      <c r="G73" s="144"/>
      <c r="H73" s="144"/>
      <c r="I73" s="144"/>
    </row>
    <row r="74" spans="7:9" x14ac:dyDescent="0.2">
      <c r="G74" s="144"/>
      <c r="H74" s="144"/>
      <c r="I74" s="144"/>
    </row>
    <row r="75" spans="7:9" x14ac:dyDescent="0.2">
      <c r="G75" s="144"/>
      <c r="H75" s="144"/>
      <c r="I75" s="144"/>
    </row>
    <row r="76" spans="7:9" x14ac:dyDescent="0.2">
      <c r="G76" s="144"/>
      <c r="H76" s="144"/>
      <c r="I76" s="144"/>
    </row>
    <row r="77" spans="7:9" x14ac:dyDescent="0.2">
      <c r="G77" s="144"/>
      <c r="H77" s="144"/>
      <c r="I77" s="144"/>
    </row>
    <row r="78" spans="7:9" x14ac:dyDescent="0.2">
      <c r="G78" s="144"/>
      <c r="H78" s="144"/>
      <c r="I78" s="144"/>
    </row>
    <row r="79" spans="7:9" x14ac:dyDescent="0.2">
      <c r="G79" s="144"/>
      <c r="H79" s="144"/>
      <c r="I79" s="144"/>
    </row>
    <row r="80" spans="7:9" x14ac:dyDescent="0.2">
      <c r="G80" s="144"/>
      <c r="H80" s="144"/>
      <c r="I80" s="144"/>
    </row>
    <row r="81" spans="7:9" x14ac:dyDescent="0.2">
      <c r="G81" s="144"/>
      <c r="H81" s="144"/>
      <c r="I81" s="144"/>
    </row>
    <row r="82" spans="7:9" x14ac:dyDescent="0.2">
      <c r="G82" s="144"/>
      <c r="H82" s="144"/>
      <c r="I82" s="144"/>
    </row>
    <row r="83" spans="7:9" x14ac:dyDescent="0.2">
      <c r="G83" s="144"/>
      <c r="H83" s="144"/>
      <c r="I83" s="144"/>
    </row>
    <row r="84" spans="7:9" x14ac:dyDescent="0.2">
      <c r="G84" s="144"/>
      <c r="H84" s="144"/>
      <c r="I84" s="144"/>
    </row>
    <row r="85" spans="7:9" x14ac:dyDescent="0.2">
      <c r="G85" s="144"/>
      <c r="H85" s="144"/>
      <c r="I85" s="144"/>
    </row>
    <row r="86" spans="7:9" x14ac:dyDescent="0.2">
      <c r="G86" s="144"/>
      <c r="H86" s="144"/>
      <c r="I86" s="144"/>
    </row>
    <row r="87" spans="7:9" x14ac:dyDescent="0.2">
      <c r="G87" s="144"/>
      <c r="H87" s="144"/>
      <c r="I87" s="144"/>
    </row>
    <row r="88" spans="7:9" x14ac:dyDescent="0.2">
      <c r="G88" s="144"/>
      <c r="H88" s="144"/>
      <c r="I88" s="144"/>
    </row>
    <row r="89" spans="7:9" x14ac:dyDescent="0.2">
      <c r="G89" s="144"/>
      <c r="H89" s="144"/>
      <c r="I89" s="144"/>
    </row>
    <row r="90" spans="7:9" x14ac:dyDescent="0.2">
      <c r="G90" s="144"/>
      <c r="H90" s="144"/>
      <c r="I90" s="144"/>
    </row>
    <row r="91" spans="7:9" x14ac:dyDescent="0.2">
      <c r="G91" s="144"/>
      <c r="H91" s="144"/>
      <c r="I91" s="144"/>
    </row>
    <row r="92" spans="7:9" x14ac:dyDescent="0.2">
      <c r="G92" s="144"/>
      <c r="H92" s="144"/>
      <c r="I92" s="144"/>
    </row>
    <row r="93" spans="7:9" x14ac:dyDescent="0.2">
      <c r="G93" s="144"/>
      <c r="H93" s="144"/>
      <c r="I93" s="144"/>
    </row>
    <row r="94" spans="7:9" x14ac:dyDescent="0.2">
      <c r="G94" s="144"/>
      <c r="H94" s="144"/>
      <c r="I94" s="144"/>
    </row>
    <row r="95" spans="7:9" x14ac:dyDescent="0.2">
      <c r="G95" s="144"/>
      <c r="H95" s="144"/>
      <c r="I95" s="144"/>
    </row>
    <row r="96" spans="7:9" x14ac:dyDescent="0.2">
      <c r="G96" s="144"/>
      <c r="H96" s="144"/>
      <c r="I96" s="144"/>
    </row>
    <row r="97" spans="7:9" x14ac:dyDescent="0.2">
      <c r="G97" s="144"/>
      <c r="H97" s="144"/>
      <c r="I97" s="144"/>
    </row>
    <row r="98" spans="7:9" x14ac:dyDescent="0.2">
      <c r="G98" s="144"/>
      <c r="H98" s="144"/>
      <c r="I98" s="144"/>
    </row>
    <row r="99" spans="7:9" x14ac:dyDescent="0.2">
      <c r="G99" s="144"/>
      <c r="H99" s="144"/>
      <c r="I99" s="144"/>
    </row>
    <row r="100" spans="7:9" x14ac:dyDescent="0.2">
      <c r="G100" s="144"/>
      <c r="H100" s="144"/>
      <c r="I100" s="144"/>
    </row>
    <row r="101" spans="7:9" x14ac:dyDescent="0.2">
      <c r="G101" s="144"/>
      <c r="H101" s="144"/>
      <c r="I101" s="144"/>
    </row>
    <row r="102" spans="7:9" x14ac:dyDescent="0.2">
      <c r="G102" s="144"/>
      <c r="H102" s="144"/>
      <c r="I102" s="144"/>
    </row>
    <row r="103" spans="7:9" x14ac:dyDescent="0.2">
      <c r="G103" s="144"/>
      <c r="H103" s="144"/>
      <c r="I103" s="144"/>
    </row>
    <row r="104" spans="7:9" x14ac:dyDescent="0.2">
      <c r="G104" s="144"/>
      <c r="H104" s="144"/>
      <c r="I104" s="144"/>
    </row>
    <row r="105" spans="7:9" x14ac:dyDescent="0.2">
      <c r="G105" s="144"/>
      <c r="H105" s="144"/>
      <c r="I105" s="144"/>
    </row>
    <row r="106" spans="7:9" x14ac:dyDescent="0.2">
      <c r="G106" s="144"/>
      <c r="H106" s="144"/>
      <c r="I106" s="144"/>
    </row>
  </sheetData>
  <sheetProtection algorithmName="SHA-512" hashValue="zqhN49GyfzvwjXC6c1vyg3q+bTwaCEpXglZ3mFxw0jnPh9/TL6DGdEGSf4ip4C+vD5YB9ihAX0ZSF1pbUOWeOg==" saltValue="SMWrtJgZtQ+XDfG/6p3+jg==" spinCount="100000" sheet="1" objects="1" scenarios="1"/>
  <mergeCells count="16">
    <mergeCell ref="H12:I16"/>
    <mergeCell ref="F5:G5"/>
    <mergeCell ref="J1:K3"/>
    <mergeCell ref="L1:M3"/>
    <mergeCell ref="F3:G3"/>
    <mergeCell ref="F4:G4"/>
    <mergeCell ref="J4:M7"/>
    <mergeCell ref="H3:I3"/>
    <mergeCell ref="H4:I4"/>
    <mergeCell ref="J8:M12"/>
    <mergeCell ref="A1:I1"/>
    <mergeCell ref="H6:I6"/>
    <mergeCell ref="H7:H8"/>
    <mergeCell ref="I7:I8"/>
    <mergeCell ref="H9:H11"/>
    <mergeCell ref="I9:I11"/>
  </mergeCells>
  <conditionalFormatting sqref="A7:E39">
    <cfRule type="expression" dxfId="42" priority="6">
      <formula>A7&lt;&gt;""</formula>
    </cfRule>
  </conditionalFormatting>
  <conditionalFormatting sqref="F7:F39">
    <cfRule type="expression" dxfId="41" priority="5">
      <formula>A7&lt;&gt;""</formula>
    </cfRule>
  </conditionalFormatting>
  <conditionalFormatting sqref="G7:G39">
    <cfRule type="expression" dxfId="40" priority="2">
      <formula>$G7&lt;&gt;""</formula>
    </cfRule>
  </conditionalFormatting>
  <hyperlinks>
    <hyperlink ref="J1:K3" location="'Begr.-Rechner int. Prod.'!A1" display="'Begr.-Rechner int. Prod.'!A1" xr:uid="{00000000-0004-0000-0200-000000000000}"/>
    <hyperlink ref="L1:M3" location="Anleitung!A1" display="Anleitung!A1" xr:uid="{00000000-0004-0000-0200-000001000000}"/>
  </hyperlinks>
  <pageMargins left="0.7" right="0.7" top="0.78740157499999996" bottom="0.78740157499999996" header="0.3" footer="0.3"/>
  <pageSetup paperSize="9" scale="49" orientation="landscape" r:id="rId1"/>
  <legacyDrawing r:id="rId2"/>
  <extLst>
    <ext xmlns:x14="http://schemas.microsoft.com/office/spreadsheetml/2009/9/main" uri="{78C0D931-6437-407d-A8EE-F0AAD7539E65}">
      <x14:conditionalFormattings>
        <x14:conditionalFormatting xmlns:xm="http://schemas.microsoft.com/office/excel/2006/main">
          <x14:cfRule type="expression" priority="3" id="{34A4D2F9-5EFE-42E0-B768-37F0EE507ADC}">
            <xm:f>OR(AND('Konventionell (2)'!$W$3&gt;0,'Konventionell (2)'!$X$3&gt;0),AND('Konventionell (2)'!$W$3=0,'Konventionell (2)'!$X$3&gt;0))</xm:f>
            <x14:dxf>
              <border>
                <right style="thin">
                  <color auto="1"/>
                </right>
                <top style="thin">
                  <color auto="1"/>
                </top>
                <bottom style="thin">
                  <color auto="1"/>
                </bottom>
                <vertical/>
                <horizontal/>
              </border>
            </x14:dxf>
          </x14:cfRule>
          <xm:sqref>J4</xm:sqref>
        </x14:conditionalFormatting>
        <x14:conditionalFormatting xmlns:xm="http://schemas.microsoft.com/office/excel/2006/main">
          <x14:cfRule type="expression" priority="1" id="{46BC2D5B-8E4C-43A6-B077-87158E0A7EAC}">
            <xm:f>AND($H$4&gt;0.6,'Begr.-Rechner int. Prod.'!$J$2&gt;0)</xm:f>
            <x14:dxf>
              <font>
                <b/>
                <i val="0"/>
              </font>
              <fill>
                <patternFill>
                  <bgColor rgb="FFFFC000"/>
                </patternFill>
              </fill>
              <border>
                <left style="thin">
                  <color auto="1"/>
                </left>
                <right style="thin">
                  <color auto="1"/>
                </right>
                <top style="thin">
                  <color auto="1"/>
                </top>
                <bottom style="thin">
                  <color auto="1"/>
                </bottom>
                <vertical/>
                <horizontal/>
              </border>
            </x14:dxf>
          </x14:cfRule>
          <xm:sqref>J8:M12</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pageSetUpPr fitToPage="1"/>
  </sheetPr>
  <dimension ref="A1:AM275"/>
  <sheetViews>
    <sheetView showZeros="0" zoomScale="85" zoomScaleNormal="85" zoomScaleSheetLayoutView="100" workbookViewId="0">
      <pane xSplit="1" topLeftCell="B1" activePane="topRight" state="frozen"/>
      <selection pane="topRight" activeCell="A43" sqref="A43"/>
    </sheetView>
  </sheetViews>
  <sheetFormatPr baseColWidth="10" defaultRowHeight="15" x14ac:dyDescent="0.25"/>
  <cols>
    <col min="1" max="1" width="45.125" customWidth="1"/>
    <col min="2" max="2" width="27.875" style="35" customWidth="1"/>
    <col min="3" max="3" width="20.875" customWidth="1"/>
    <col min="4" max="4" width="20.125" customWidth="1"/>
    <col min="5" max="5" width="14.625" customWidth="1"/>
    <col min="7" max="7" width="14.25" customWidth="1"/>
    <col min="9" max="9" width="21.25" customWidth="1"/>
    <col min="10" max="11" width="13.375" customWidth="1"/>
    <col min="12" max="12" width="15.125" customWidth="1"/>
    <col min="13" max="13" width="17.25" bestFit="1" customWidth="1"/>
    <col min="14" max="16" width="15.125" customWidth="1"/>
    <col min="17" max="22" width="16.875" customWidth="1"/>
    <col min="23" max="24" width="13.25" customWidth="1"/>
    <col min="25" max="25" width="13.5" customWidth="1"/>
    <col min="27" max="27" width="17.25" customWidth="1"/>
    <col min="33" max="33" width="27.125" customWidth="1"/>
    <col min="34" max="34" width="14" customWidth="1"/>
    <col min="35" max="35" width="17.25" bestFit="1" customWidth="1"/>
    <col min="36" max="36" width="18.125" bestFit="1" customWidth="1"/>
    <col min="37" max="37" width="9.25" bestFit="1" customWidth="1"/>
    <col min="38" max="38" width="14.5" bestFit="1" customWidth="1"/>
  </cols>
  <sheetData>
    <row r="1" spans="1:39" ht="143.25" customHeight="1" thickBot="1" x14ac:dyDescent="0.25">
      <c r="A1" s="52" t="s">
        <v>647</v>
      </c>
      <c r="B1" s="1" t="s">
        <v>479</v>
      </c>
      <c r="C1" s="2" t="s">
        <v>100</v>
      </c>
      <c r="D1" s="3"/>
      <c r="E1" s="431" t="s">
        <v>0</v>
      </c>
      <c r="F1" s="432"/>
      <c r="G1" s="432"/>
      <c r="H1" s="432"/>
      <c r="I1" s="123" t="str">
        <f>IF($I$2="","bitte geben Sie HIER die
Begrünungsfläche in ha an","Fläche in ha")</f>
        <v>Fläche in ha</v>
      </c>
      <c r="J1" s="4" t="s">
        <v>281</v>
      </c>
      <c r="K1" s="4" t="s">
        <v>1</v>
      </c>
      <c r="L1" s="5" t="s">
        <v>282</v>
      </c>
      <c r="M1" s="6"/>
      <c r="N1" s="166"/>
      <c r="O1" s="166"/>
      <c r="P1" s="166"/>
      <c r="Q1" s="166"/>
      <c r="R1" s="166"/>
      <c r="S1" s="166"/>
      <c r="T1" s="166"/>
      <c r="U1" s="166"/>
      <c r="V1" s="166"/>
      <c r="AB1" s="456" t="s">
        <v>319</v>
      </c>
      <c r="AC1" s="457"/>
      <c r="AD1" s="155"/>
    </row>
    <row r="2" spans="1:39" ht="46.5" customHeight="1" thickTop="1" thickBot="1" x14ac:dyDescent="0.25">
      <c r="A2" s="7" t="s">
        <v>286</v>
      </c>
      <c r="B2" s="7" t="s">
        <v>2</v>
      </c>
      <c r="C2" s="7" t="s">
        <v>101</v>
      </c>
      <c r="D2" s="8" t="s">
        <v>4</v>
      </c>
      <c r="E2" s="7" t="s">
        <v>5</v>
      </c>
      <c r="F2" s="9" t="s">
        <v>1</v>
      </c>
      <c r="G2" s="7" t="s">
        <v>285</v>
      </c>
      <c r="H2" s="10" t="s">
        <v>6</v>
      </c>
      <c r="I2" s="138">
        <f>'Begr.-Rechner int. Prod.'!$I$2</f>
        <v>0</v>
      </c>
      <c r="J2" s="11">
        <f>SUM(E3:E65)</f>
        <v>0</v>
      </c>
      <c r="K2" s="12">
        <f>SUM(F3:F65)</f>
        <v>0</v>
      </c>
      <c r="L2" s="13">
        <f>SUM(G3:G65)</f>
        <v>0</v>
      </c>
      <c r="M2" s="174" t="s">
        <v>332</v>
      </c>
      <c r="N2" s="164" t="s">
        <v>327</v>
      </c>
      <c r="O2" s="350" t="s">
        <v>753</v>
      </c>
      <c r="P2" s="350" t="s">
        <v>754</v>
      </c>
      <c r="Q2" s="153" t="s">
        <v>331</v>
      </c>
      <c r="R2" s="153" t="s">
        <v>745</v>
      </c>
      <c r="S2" s="153" t="s">
        <v>750</v>
      </c>
      <c r="T2" s="345" t="s">
        <v>748</v>
      </c>
      <c r="U2" s="153" t="s">
        <v>353</v>
      </c>
      <c r="V2" s="345" t="s">
        <v>749</v>
      </c>
      <c r="W2" s="347" t="s">
        <v>329</v>
      </c>
      <c r="X2" s="164" t="s">
        <v>434</v>
      </c>
      <c r="Y2" s="164" t="s">
        <v>318</v>
      </c>
      <c r="Z2" s="164" t="s">
        <v>317</v>
      </c>
      <c r="AA2" s="164" t="s">
        <v>334</v>
      </c>
      <c r="AB2" t="s">
        <v>321</v>
      </c>
      <c r="AC2" s="158" t="s">
        <v>322</v>
      </c>
      <c r="AD2" s="158" t="s">
        <v>435</v>
      </c>
      <c r="AE2" s="164" t="s">
        <v>330</v>
      </c>
      <c r="AG2" s="186" t="s">
        <v>358</v>
      </c>
      <c r="AH2" s="187" t="s">
        <v>360</v>
      </c>
      <c r="AI2" s="187" t="s">
        <v>430</v>
      </c>
      <c r="AJ2" t="s">
        <v>461</v>
      </c>
      <c r="AK2" t="s">
        <v>466</v>
      </c>
      <c r="AL2" t="s">
        <v>467</v>
      </c>
    </row>
    <row r="3" spans="1:39" ht="21.75" customHeight="1" thickTop="1" thickBot="1" x14ac:dyDescent="0.25">
      <c r="A3" s="14" t="s">
        <v>62</v>
      </c>
      <c r="B3" s="53">
        <f>'Begr.-Rechner int. Prod.'!B4</f>
        <v>4.6100000000000003</v>
      </c>
      <c r="C3" s="54">
        <f>'Begr.-Rechner int. Prod.'!C4</f>
        <v>15</v>
      </c>
      <c r="D3" s="15">
        <f>IF(ISERROR(C3*B3),0,C3*B3)</f>
        <v>69.150000000000006</v>
      </c>
      <c r="E3" s="139">
        <f>'Begr.-Rechner int. Prod.'!E4</f>
        <v>0</v>
      </c>
      <c r="F3" s="58">
        <f>IF(ISERROR(E3*B3),0,(E3*B3))</f>
        <v>0</v>
      </c>
      <c r="G3" s="59">
        <f>IF(ISERROR(E3/C3),0,(E3/C3))</f>
        <v>0</v>
      </c>
      <c r="H3" s="60">
        <f>IF(ISERROR($I$2*E3),0,($I$2*E3))</f>
        <v>0</v>
      </c>
      <c r="I3" t="str">
        <f>VLOOKUP(A3,'Begr.-Rechner int. Prod.'!$A$4:$I$59,9,0)</f>
        <v>Kreuzblütler</v>
      </c>
      <c r="K3" s="468" t="s">
        <v>460</v>
      </c>
      <c r="L3" s="470"/>
      <c r="M3" t="s">
        <v>224</v>
      </c>
      <c r="N3" t="s">
        <v>333</v>
      </c>
      <c r="O3" t="str">
        <f>IF(AND(N3="ja",Q3="ja"),R3,"")</f>
        <v/>
      </c>
      <c r="P3" t="str">
        <f t="array" ref="P3">IFERROR(INDEX($O$3:$O$65,MATCH(0,COUNTIF(P$2:$P2,$O$3:$O$65),0)),"")</f>
        <v/>
      </c>
      <c r="Q3" t="str">
        <f>IF(E3&gt;0,"ja","nein")</f>
        <v>nein</v>
      </c>
      <c r="R3" t="s">
        <v>62</v>
      </c>
      <c r="S3" t="str">
        <f>IF(Q3="JA",R3,"")</f>
        <v/>
      </c>
      <c r="T3" s="173" t="str">
        <f t="array" ref="T3">IFERROR(INDEX($S$3:$S$65,MATCH(0,COUNTIF(T$2:$T2,$S$3:$S$65),0)),"")</f>
        <v/>
      </c>
      <c r="U3" t="str">
        <f>IF(Q3="ja",I3,"")</f>
        <v/>
      </c>
      <c r="V3" s="173" t="str">
        <f t="array" ref="V3">IFERROR(INDEX($U$3:$U$65,MATCH(0,COUNTIF(V$2:$V2,$U$3:$U$65),0)),"")</f>
        <v/>
      </c>
      <c r="W3" s="348">
        <f>COUNTIFS($M$3:$M$65,"ja",$Q$3:$Q$65,"ja")</f>
        <v>0</v>
      </c>
      <c r="X3" s="165" t="str">
        <f>IF(AND($X$5&gt;0,$X$4=0),"ja",IF(AND($X$5&gt;0,$X$4&gt;0),"nein",IF(AND($X$5=0,$X$4&gt;0),"nein","nein")))</f>
        <v>nein</v>
      </c>
      <c r="Y3" s="165" cm="1">
        <f t="array" ref="Y3">SUMPRODUCT(($V$3:$V$65&lt;&gt;"")*(LEN($V$3:$V$65)&gt;0))-COUNTIF($V$3:$V$65,"keine Angabe")</f>
        <v>0</v>
      </c>
      <c r="Z3" s="165">
        <f t="array" ref="Z3">SUMPRODUCT(($T$3:$T$65&lt;&gt;"")*(LEN($T$3:$T$65)&gt;0))</f>
        <v>0</v>
      </c>
      <c r="AA3" s="168">
        <f t="array" ref="AA3">SUMPRODUCT(($P$3:$P$65&lt;&gt;"")*(LEN($P$3:$P$65)&gt;0))</f>
        <v>0</v>
      </c>
      <c r="AB3" t="s">
        <v>328</v>
      </c>
      <c r="AC3">
        <v>5</v>
      </c>
      <c r="AD3">
        <v>2</v>
      </c>
      <c r="AE3" t="str">
        <f>IFERROR(IF(AND($AA$3&gt;=$AC$3,$Y$3&gt;=$AD$3),"Var.1; ",""),"")</f>
        <v/>
      </c>
      <c r="AG3" s="173"/>
      <c r="AM3" t="s">
        <v>541</v>
      </c>
    </row>
    <row r="4" spans="1:39" ht="21.75" customHeight="1" thickBot="1" x14ac:dyDescent="0.25">
      <c r="A4" s="14" t="s">
        <v>8</v>
      </c>
      <c r="B4" s="53">
        <f>'Begr.-Rechner int. Prod.'!B5</f>
        <v>4.6899999999999995</v>
      </c>
      <c r="C4" s="54">
        <f>'Begr.-Rechner int. Prod.'!C5</f>
        <v>25</v>
      </c>
      <c r="D4" s="15">
        <f t="shared" ref="D4:D65" si="0">IF(ISERROR(C4*B4),0,C4*B4)</f>
        <v>117.24999999999999</v>
      </c>
      <c r="E4" s="139">
        <f>'Begr.-Rechner int. Prod.'!E5</f>
        <v>0</v>
      </c>
      <c r="F4" s="58">
        <f t="shared" ref="F4:F65" si="1">IF(ISERROR(E4*B4),0,(E4*B4))</f>
        <v>0</v>
      </c>
      <c r="G4" s="59">
        <f t="shared" ref="G4:G65" si="2">IF(ISERROR(E4/C4),0,(E4/C4))</f>
        <v>0</v>
      </c>
      <c r="H4" s="60">
        <f t="shared" ref="H4:H65" si="3">IF(ISERROR($I$2*E4),0,($I$2*E4))</f>
        <v>0</v>
      </c>
      <c r="I4" t="str">
        <f>VLOOKUP(A4,'Begr.-Rechner int. Prod.'!$A$4:$I$59,9,0)</f>
        <v>Leguminose</v>
      </c>
      <c r="K4" s="553" t="str">
        <f>'Begr.-Rechner int. Prod.'!L3</f>
        <v/>
      </c>
      <c r="L4" s="554"/>
      <c r="M4" t="s">
        <v>224</v>
      </c>
      <c r="N4" t="s">
        <v>333</v>
      </c>
      <c r="O4" t="str">
        <f t="shared" ref="O4:O65" si="4">IF(AND(N4="ja",Q4="ja"),R4,"")</f>
        <v/>
      </c>
      <c r="P4" t="str">
        <f t="array" ref="P4">IFERROR(INDEX($O$3:$O$65,MATCH(0,COUNTIF(P$2:$P3,$O$3:$O$65),0)),"")</f>
        <v/>
      </c>
      <c r="Q4" t="str">
        <f t="shared" ref="Q4:Q58" si="5">IF(E4&gt;0,"ja","nein")</f>
        <v>nein</v>
      </c>
      <c r="R4" t="s">
        <v>8</v>
      </c>
      <c r="S4" t="str">
        <f t="shared" ref="S4:S65" si="6">IF(Q4="JA",R4,"")</f>
        <v/>
      </c>
      <c r="T4" s="173" t="str">
        <f t="array" ref="T4">IFERROR(INDEX($S$3:$S$65,MATCH(0,COUNTIF(T$2:$T3,$S$3:$S$65),0)),"")</f>
        <v/>
      </c>
      <c r="U4" t="str">
        <f t="shared" ref="U4:U65" si="7">IF(Q4="ja",I4,"")</f>
        <v/>
      </c>
      <c r="V4" s="173" t="str">
        <f t="array" ref="V4">IFERROR(INDEX($U$3:$U$65,MATCH(0,COUNTIF(V$2:$V3,$U$3:$U$65),0)),"")</f>
        <v/>
      </c>
      <c r="X4" s="165">
        <f>COUNTIFS($M$3:$M$65,"nein",$Q$3:$Q$65,"ja")</f>
        <v>0</v>
      </c>
      <c r="AB4" t="s">
        <v>320</v>
      </c>
      <c r="AC4">
        <v>7</v>
      </c>
      <c r="AD4">
        <v>3</v>
      </c>
      <c r="AE4" t="str">
        <f>IFERROR(IF(AND($Z$3&gt;=$AC$4,$Y$3&gt;=$AD$4),"Var.2; ",""),"")</f>
        <v/>
      </c>
      <c r="AG4" s="173" t="s">
        <v>354</v>
      </c>
      <c r="AH4" t="s">
        <v>361</v>
      </c>
      <c r="AI4" t="s">
        <v>15</v>
      </c>
      <c r="AJ4" t="s">
        <v>462</v>
      </c>
      <c r="AK4">
        <v>0.7</v>
      </c>
      <c r="AL4">
        <v>0.87</v>
      </c>
      <c r="AM4" t="s">
        <v>540</v>
      </c>
    </row>
    <row r="5" spans="1:39" ht="21.75" customHeight="1" thickBot="1" x14ac:dyDescent="0.25">
      <c r="A5" s="14" t="s">
        <v>64</v>
      </c>
      <c r="B5" s="53">
        <f>'Begr.-Rechner int. Prod.'!B6</f>
        <v>3.1799999999999997</v>
      </c>
      <c r="C5" s="54">
        <f>'Begr.-Rechner int. Prod.'!C6</f>
        <v>25</v>
      </c>
      <c r="D5" s="15">
        <f t="shared" si="0"/>
        <v>79.5</v>
      </c>
      <c r="E5" s="139">
        <f>'Begr.-Rechner int. Prod.'!E6</f>
        <v>0</v>
      </c>
      <c r="F5" s="58">
        <f t="shared" si="1"/>
        <v>0</v>
      </c>
      <c r="G5" s="59">
        <f t="shared" si="2"/>
        <v>0</v>
      </c>
      <c r="H5" s="60">
        <f t="shared" si="3"/>
        <v>0</v>
      </c>
      <c r="I5" t="str">
        <f>VLOOKUP(A5,'Begr.-Rechner int. Prod.'!$A$4:$I$59,9,0)</f>
        <v>Gräser</v>
      </c>
      <c r="J5" s="140"/>
      <c r="M5" t="s">
        <v>224</v>
      </c>
      <c r="N5" t="s">
        <v>224</v>
      </c>
      <c r="O5" t="str">
        <f t="shared" si="4"/>
        <v/>
      </c>
      <c r="P5" t="str">
        <f t="array" ref="P5">IFERROR(INDEX($O$3:$O$65,MATCH(0,COUNTIF(P$2:$P4,$O$3:$O$65),0)),"")</f>
        <v/>
      </c>
      <c r="Q5" t="str">
        <f t="shared" si="5"/>
        <v>nein</v>
      </c>
      <c r="R5" t="s">
        <v>64</v>
      </c>
      <c r="S5" t="str">
        <f t="shared" si="6"/>
        <v/>
      </c>
      <c r="T5" s="173" t="str">
        <f t="array" ref="T5">IFERROR(INDEX($S$3:$S$65,MATCH(0,COUNTIF(T$2:$T4,$S$3:$S$65),0)),"")</f>
        <v/>
      </c>
      <c r="U5" t="str">
        <f t="shared" si="7"/>
        <v/>
      </c>
      <c r="V5" s="173" t="str">
        <f t="array" ref="V5">IFERROR(INDEX($U$3:$U$65,MATCH(0,COUNTIF(V$2:$V4,$U$3:$U$65),0)),"")</f>
        <v/>
      </c>
      <c r="X5" s="165">
        <f>COUNTIFS($M$3:$M$65,"ja",$Q$3:$Q$65,"ja")</f>
        <v>0</v>
      </c>
      <c r="AB5" t="s">
        <v>323</v>
      </c>
      <c r="AC5">
        <v>3</v>
      </c>
      <c r="AD5">
        <v>2</v>
      </c>
      <c r="AE5" t="str">
        <f>IFERROR(IF(AND($Z$3&gt;=$AC$5,$Y$3&gt;=$AD$5),"Var.3; ",""),"")</f>
        <v/>
      </c>
      <c r="AG5" s="173" t="s">
        <v>355</v>
      </c>
      <c r="AH5" t="s">
        <v>362</v>
      </c>
      <c r="AI5" t="s">
        <v>431</v>
      </c>
      <c r="AJ5" t="s">
        <v>463</v>
      </c>
      <c r="AK5">
        <v>0.8</v>
      </c>
      <c r="AL5">
        <v>0.87</v>
      </c>
      <c r="AM5" t="s">
        <v>540</v>
      </c>
    </row>
    <row r="6" spans="1:39" ht="21.75" customHeight="1" thickBot="1" x14ac:dyDescent="0.25">
      <c r="A6" s="43" t="s">
        <v>554</v>
      </c>
      <c r="B6" s="53">
        <f>'Begr.-Rechner int. Prod.'!B7</f>
        <v>1.75</v>
      </c>
      <c r="C6" s="54">
        <f>'Begr.-Rechner int. Prod.'!C7</f>
        <v>170</v>
      </c>
      <c r="D6" s="15">
        <f t="shared" si="0"/>
        <v>297.5</v>
      </c>
      <c r="E6" s="139">
        <f>'Begr.-Rechner int. Prod.'!E7</f>
        <v>0</v>
      </c>
      <c r="F6" s="58">
        <f t="shared" si="1"/>
        <v>0</v>
      </c>
      <c r="G6" s="59">
        <f t="shared" si="2"/>
        <v>0</v>
      </c>
      <c r="H6" s="60">
        <f t="shared" si="3"/>
        <v>0</v>
      </c>
      <c r="I6" t="str">
        <f>VLOOKUP(A6,'Begr.-Rechner int. Prod.'!$A$4:$I$59,9,0)</f>
        <v>Leguminose</v>
      </c>
      <c r="M6" t="s">
        <v>224</v>
      </c>
      <c r="N6" t="s">
        <v>333</v>
      </c>
      <c r="O6" t="str">
        <f t="shared" si="4"/>
        <v/>
      </c>
      <c r="P6" t="str">
        <f t="array" ref="P6">IFERROR(INDEX($O$3:$O$65,MATCH(0,COUNTIF(P$2:$P5,$O$3:$O$65),0)),"")</f>
        <v/>
      </c>
      <c r="Q6" t="str">
        <f t="shared" si="5"/>
        <v>nein</v>
      </c>
      <c r="R6" t="s">
        <v>554</v>
      </c>
      <c r="S6" t="str">
        <f t="shared" si="6"/>
        <v/>
      </c>
      <c r="T6" s="173" t="str">
        <f t="array" ref="T6">IFERROR(INDEX($S$3:$S$65,MATCH(0,COUNTIF(T$2:$T5,$S$3:$S$65),0)),"")</f>
        <v/>
      </c>
      <c r="U6" t="str">
        <f t="shared" si="7"/>
        <v/>
      </c>
      <c r="V6" s="173" t="str">
        <f t="array" ref="V6">IFERROR(INDEX($U$3:$U$65,MATCH(0,COUNTIF(V$2:$V5,$U$3:$U$65),0)),"")</f>
        <v/>
      </c>
      <c r="AB6" t="s">
        <v>324</v>
      </c>
      <c r="AC6">
        <v>3</v>
      </c>
      <c r="AD6">
        <v>2</v>
      </c>
      <c r="AE6" t="str">
        <f>IFERROR(IF(AND($Z$3&gt;=$AC$6,$Y$3&gt;=$AD$6),"Var.4; ",""),"")</f>
        <v/>
      </c>
      <c r="AG6" s="173" t="s">
        <v>159</v>
      </c>
      <c r="AI6" t="s">
        <v>94</v>
      </c>
      <c r="AJ6" t="s">
        <v>464</v>
      </c>
      <c r="AK6">
        <v>0.85</v>
      </c>
      <c r="AL6">
        <v>0.87</v>
      </c>
      <c r="AM6" t="s">
        <v>540</v>
      </c>
    </row>
    <row r="7" spans="1:39" ht="21.75" customHeight="1" thickBot="1" x14ac:dyDescent="0.25">
      <c r="A7" s="43" t="s">
        <v>644</v>
      </c>
      <c r="B7" s="53">
        <f>'Begr.-Rechner int. Prod.'!B8</f>
        <v>1.83</v>
      </c>
      <c r="C7" s="54">
        <f>'Begr.-Rechner int. Prod.'!C8</f>
        <v>60</v>
      </c>
      <c r="D7" s="15">
        <f t="shared" si="0"/>
        <v>109.80000000000001</v>
      </c>
      <c r="E7" s="139">
        <f>'Begr.-Rechner int. Prod.'!E8</f>
        <v>0</v>
      </c>
      <c r="F7" s="58">
        <f t="shared" si="1"/>
        <v>0</v>
      </c>
      <c r="G7" s="59">
        <f t="shared" si="2"/>
        <v>0</v>
      </c>
      <c r="H7" s="60">
        <f t="shared" si="3"/>
        <v>0</v>
      </c>
      <c r="I7" t="str">
        <f>VLOOKUP(A7,'Begr.-Rechner int. Prod.'!$A$4:$I$59,9,0)</f>
        <v>Knöterichgewächse</v>
      </c>
      <c r="M7" t="s">
        <v>224</v>
      </c>
      <c r="N7" t="s">
        <v>333</v>
      </c>
      <c r="O7" t="str">
        <f t="shared" si="4"/>
        <v/>
      </c>
      <c r="P7" t="str">
        <f t="array" ref="P7">IFERROR(INDEX($O$3:$O$65,MATCH(0,COUNTIF(P$2:$P6,$O$3:$O$65),0)),"")</f>
        <v/>
      </c>
      <c r="Q7" t="str">
        <f t="shared" si="5"/>
        <v>nein</v>
      </c>
      <c r="R7" t="s">
        <v>10</v>
      </c>
      <c r="S7" t="str">
        <f t="shared" si="6"/>
        <v/>
      </c>
      <c r="T7" s="173" t="str">
        <f t="array" ref="T7">IFERROR(INDEX($S$3:$S$65,MATCH(0,COUNTIF(T$2:$T6,$S$3:$S$65),0)),"")</f>
        <v/>
      </c>
      <c r="U7" t="str">
        <f t="shared" si="7"/>
        <v/>
      </c>
      <c r="V7" s="173" t="str">
        <f t="array" ref="V7">IFERROR(INDEX($U$3:$U$65,MATCH(0,COUNTIF(V$2:$V6,$U$3:$U$65),0)),"")</f>
        <v/>
      </c>
      <c r="W7" s="349" t="s">
        <v>539</v>
      </c>
      <c r="X7" s="253">
        <f>'Begr.-Rechner int. Prod.'!$L$6</f>
        <v>0</v>
      </c>
      <c r="Y7" s="213" t="s">
        <v>541</v>
      </c>
      <c r="Z7" s="253" t="e">
        <f>VLOOKUP($X$7,$AJ$4:$AM$10,4,0)</f>
        <v>#N/A</v>
      </c>
      <c r="AB7" t="s">
        <v>325</v>
      </c>
      <c r="AC7">
        <v>3</v>
      </c>
      <c r="AD7">
        <v>2</v>
      </c>
      <c r="AE7" t="str">
        <f>IFERROR(IF(AND($Z$3&gt;=$AC$7,$Y$3&gt;=$AD$7),"Var.5; ",""),"")</f>
        <v/>
      </c>
      <c r="AG7" s="173" t="s">
        <v>356</v>
      </c>
      <c r="AI7" t="s">
        <v>432</v>
      </c>
      <c r="AJ7" t="s">
        <v>465</v>
      </c>
      <c r="AK7">
        <v>1</v>
      </c>
      <c r="AL7">
        <v>0.87</v>
      </c>
      <c r="AM7" t="s">
        <v>540</v>
      </c>
    </row>
    <row r="8" spans="1:39" ht="37.5" customHeight="1" thickBot="1" x14ac:dyDescent="0.25">
      <c r="A8" s="17" t="s">
        <v>10</v>
      </c>
      <c r="B8" s="53">
        <f>'Begr.-Rechner int. Prod.'!B9</f>
        <v>1.9350000000000001</v>
      </c>
      <c r="C8" s="54">
        <f>'Begr.-Rechner int. Prod.'!C9</f>
        <v>70</v>
      </c>
      <c r="D8" s="15">
        <f t="shared" si="0"/>
        <v>135.45000000000002</v>
      </c>
      <c r="E8" s="139">
        <f>'Begr.-Rechner int. Prod.'!E9</f>
        <v>0</v>
      </c>
      <c r="F8" s="58">
        <f t="shared" si="1"/>
        <v>0</v>
      </c>
      <c r="G8" s="59">
        <f t="shared" si="2"/>
        <v>0</v>
      </c>
      <c r="H8" s="60">
        <f t="shared" si="3"/>
        <v>0</v>
      </c>
      <c r="I8" t="str">
        <f>VLOOKUP(A8,'Begr.-Rechner int. Prod.'!$A$4:$I$59,9,0)</f>
        <v>Knöterichgewächse</v>
      </c>
      <c r="M8" t="s">
        <v>224</v>
      </c>
      <c r="N8" t="s">
        <v>333</v>
      </c>
      <c r="O8" t="str">
        <f t="shared" si="4"/>
        <v/>
      </c>
      <c r="P8" t="str">
        <f t="array" ref="P8">IFERROR(INDEX($O$3:$O$65,MATCH(0,COUNTIF(P$2:$P7,$O$3:$O$65),0)),"")</f>
        <v/>
      </c>
      <c r="Q8" t="str">
        <f t="shared" si="5"/>
        <v>nein</v>
      </c>
      <c r="R8" t="s">
        <v>10</v>
      </c>
      <c r="S8" t="str">
        <f t="shared" si="6"/>
        <v/>
      </c>
      <c r="T8" s="173" t="str">
        <f t="array" ref="T8">IFERROR(INDEX($S$3:$S$65,MATCH(0,COUNTIF(T$2:$T7,$S$3:$S$65),0)),"")</f>
        <v/>
      </c>
      <c r="U8" t="str">
        <f t="shared" si="7"/>
        <v/>
      </c>
      <c r="V8" s="173" t="str">
        <f t="array" ref="V8">IFERROR(INDEX($U$3:$U$65,MATCH(0,COUNTIF(V$2:$V7,$U$3:$U$65),0)),"")</f>
        <v/>
      </c>
      <c r="W8" s="525" t="s">
        <v>459</v>
      </c>
      <c r="X8" s="525"/>
      <c r="Y8" s="526"/>
      <c r="Z8" s="213" t="s">
        <v>471</v>
      </c>
      <c r="AA8" s="214" t="s">
        <v>472</v>
      </c>
      <c r="AB8" t="s">
        <v>326</v>
      </c>
      <c r="AC8" s="158"/>
      <c r="AD8" s="158"/>
      <c r="AE8" t="str">
        <f>IF($X$3="ja","Var. 6 *","")</f>
        <v/>
      </c>
      <c r="AG8" s="173" t="s">
        <v>313</v>
      </c>
      <c r="AI8" t="s">
        <v>433</v>
      </c>
      <c r="AJ8" t="s">
        <v>468</v>
      </c>
      <c r="AK8">
        <v>0.5</v>
      </c>
      <c r="AL8">
        <v>0.91</v>
      </c>
      <c r="AM8" t="s">
        <v>137</v>
      </c>
    </row>
    <row r="9" spans="1:39" ht="33" customHeight="1" thickBot="1" x14ac:dyDescent="0.25">
      <c r="A9" s="24" t="s">
        <v>485</v>
      </c>
      <c r="B9" s="53">
        <f>'Begr.-Rechner int. Prod.'!B10</f>
        <v>2.77</v>
      </c>
      <c r="C9" s="54">
        <f>'Begr.-Rechner int. Prod.'!C10</f>
        <v>40</v>
      </c>
      <c r="D9" s="15">
        <f t="shared" si="0"/>
        <v>110.8</v>
      </c>
      <c r="E9" s="139">
        <f>'Begr.-Rechner int. Prod.'!E10</f>
        <v>0</v>
      </c>
      <c r="F9" s="58">
        <f t="shared" si="1"/>
        <v>0</v>
      </c>
      <c r="G9" s="59">
        <f t="shared" si="2"/>
        <v>0</v>
      </c>
      <c r="H9" s="60">
        <f t="shared" si="3"/>
        <v>0</v>
      </c>
      <c r="I9" t="str">
        <f>VLOOKUP(A9,'Begr.-Rechner int. Prod.'!$A$4:$I$59,9,0)</f>
        <v>Gräser</v>
      </c>
      <c r="M9" t="s">
        <v>224</v>
      </c>
      <c r="N9" t="s">
        <v>224</v>
      </c>
      <c r="O9" t="str">
        <f t="shared" si="4"/>
        <v/>
      </c>
      <c r="P9" t="str">
        <f t="array" ref="P9">IFERROR(INDEX($O$3:$O$65,MATCH(0,COUNTIF(P$2:$P8,$O$3:$O$65),0)),"")</f>
        <v/>
      </c>
      <c r="Q9" t="str">
        <f t="shared" si="5"/>
        <v>nein</v>
      </c>
      <c r="R9" t="s">
        <v>485</v>
      </c>
      <c r="S9" t="str">
        <f t="shared" si="6"/>
        <v/>
      </c>
      <c r="T9" s="173" t="str">
        <f t="array" ref="T9">IFERROR(INDEX($S$3:$S$65,MATCH(0,COUNTIF(T$2:$T8,$S$3:$S$65),0)),"")</f>
        <v/>
      </c>
      <c r="U9" t="str">
        <f t="shared" si="7"/>
        <v/>
      </c>
      <c r="V9" s="173" t="str">
        <f t="array" ref="V9">IFERROR(INDEX($U$3:$U$65,MATCH(0,COUNTIF(V$2:$V8,$U$3:$U$65),0)),"")</f>
        <v/>
      </c>
      <c r="W9" s="211">
        <f>IF(OR(J2=0,AND(J2&gt;0,K4="0 %")),80,IF(AND(J2&gt;0,K4&gt;0),40,""))</f>
        <v>80</v>
      </c>
      <c r="X9" s="211">
        <f>IFERROR(IF('Begr.-Rechner int. Prod.'!$L$6&lt;&gt;"",VLOOKUP('Begr.-Rechner int. Prod.'!$L$6,'Konventionell (2)'!$AJ$4:$AL$10,2,0),1),"")</f>
        <v>1</v>
      </c>
      <c r="Y9" s="212">
        <f>IFERROR(IF('Begr.-Rechner int. Prod.'!$L$6&lt;&gt;"",VLOOKUP('Begr.-Rechner int. Prod.'!$L$6,'Konventionell (2)'!$AJ$4:$AL$10,3,0),1),"")</f>
        <v>1</v>
      </c>
      <c r="Z9">
        <f>IF('Begr.-Rechner int. Prod.'!$L$6&lt;&gt;"",ROUND(W9/X9/Y9,1),60)</f>
        <v>60</v>
      </c>
      <c r="AA9" s="147" t="str">
        <f>IF('Begr.-Rechner int. Prod.'!L6&lt;&gt;"",W9,"")</f>
        <v/>
      </c>
      <c r="AB9" t="s">
        <v>438</v>
      </c>
      <c r="AC9">
        <v>3</v>
      </c>
      <c r="AD9">
        <v>2</v>
      </c>
      <c r="AE9" t="str">
        <f>IFERROR(IF(AND($Z$3&gt;=$AC$9,$Y$3&gt;=$AD$9),"Var.7",""),"")</f>
        <v/>
      </c>
      <c r="AG9" s="173" t="s">
        <v>314</v>
      </c>
      <c r="AI9" t="s">
        <v>384</v>
      </c>
      <c r="AJ9" t="s">
        <v>469</v>
      </c>
      <c r="AK9">
        <v>0.1</v>
      </c>
      <c r="AL9">
        <v>0.91</v>
      </c>
      <c r="AM9" t="s">
        <v>137</v>
      </c>
    </row>
    <row r="10" spans="1:39" ht="33" customHeight="1" thickBot="1" x14ac:dyDescent="0.25">
      <c r="A10" s="20" t="s">
        <v>685</v>
      </c>
      <c r="B10" s="53">
        <f>'Begr.-Rechner int. Prod.'!B11</f>
        <v>3.4649999999999999</v>
      </c>
      <c r="C10" s="54">
        <f>'Begr.-Rechner int. Prod.'!C11</f>
        <v>25</v>
      </c>
      <c r="D10" s="15">
        <f t="shared" si="0"/>
        <v>86.625</v>
      </c>
      <c r="E10" s="139">
        <f>'Begr.-Rechner int. Prod.'!E11</f>
        <v>0</v>
      </c>
      <c r="F10" s="58">
        <f t="shared" si="1"/>
        <v>0</v>
      </c>
      <c r="G10" s="59">
        <f t="shared" si="2"/>
        <v>0</v>
      </c>
      <c r="H10" s="60">
        <f t="shared" si="3"/>
        <v>0</v>
      </c>
      <c r="I10" t="str">
        <f>VLOOKUP(A10,'Begr.-Rechner int. Prod.'!$A$4:$I$59,9,0)</f>
        <v>Gräser</v>
      </c>
      <c r="M10" t="s">
        <v>224</v>
      </c>
      <c r="N10" t="s">
        <v>224</v>
      </c>
      <c r="O10" t="str">
        <f t="shared" si="4"/>
        <v/>
      </c>
      <c r="P10" t="str">
        <f t="array" ref="P10">IFERROR(INDEX($O$3:$O$65,MATCH(0,COUNTIF(P$2:$P9,$O$3:$O$65),0)),"")</f>
        <v/>
      </c>
      <c r="Q10" t="str">
        <f t="shared" si="5"/>
        <v>nein</v>
      </c>
      <c r="R10" t="s">
        <v>685</v>
      </c>
      <c r="S10" t="str">
        <f t="shared" si="6"/>
        <v/>
      </c>
      <c r="T10" s="173" t="str">
        <f t="array" ref="T10">IFERROR(INDEX($S$3:$S$65,MATCH(0,COUNTIF(T$2:$T9,$S$3:$S$65),0)),"")</f>
        <v/>
      </c>
      <c r="U10" t="str">
        <f t="shared" si="7"/>
        <v/>
      </c>
      <c r="V10" s="173" t="str">
        <f t="array" ref="V10">IFERROR(INDEX($U$3:$U$65,MATCH(0,COUNTIF(V$2:$V9,$U$3:$U$65),0)),"")</f>
        <v/>
      </c>
      <c r="W10">
        <f>IF(OR(J2=0,AND(J2&gt;0,K4="0 %")),70,IF(AND(J2&gt;0,K4&gt;0),30,""))</f>
        <v>70</v>
      </c>
      <c r="X10">
        <f>IFERROR(IF('Begr.-Rechner int. Prod.'!$L$6&lt;&gt;"",VLOOKUP('Begr.-Rechner int. Prod.'!$L$6,'Konventionell (2)'!$AJ$4:$AL$10,2,0),1),"")</f>
        <v>1</v>
      </c>
      <c r="Y10" s="147">
        <f>IFERROR(IF('Begr.-Rechner int. Prod.'!$L$6&lt;&gt;"",VLOOKUP('Begr.-Rechner int. Prod.'!$L$6,'Konventionell (2)'!$AJ$4:$AL$10,3,0),1),"")</f>
        <v>1</v>
      </c>
      <c r="Z10">
        <f>IF('Begr.-Rechner int. Prod.'!$L$6&lt;&gt;"",ROUND(W10/X10/Y10,1),60)</f>
        <v>60</v>
      </c>
      <c r="AA10" s="147" t="str">
        <f>IF('Begr.-Rechner int. Prod.'!L6&lt;&gt;"",W10,"")</f>
        <v/>
      </c>
      <c r="AE10" t="str">
        <f>IF(AND($AE3="",AE4="",AE5="",AE6="",AE7="",AE8=""),"keine ÖPUL Konformität gegeben","")</f>
        <v>keine ÖPUL Konformität gegeben</v>
      </c>
      <c r="AG10" s="173" t="s">
        <v>117</v>
      </c>
      <c r="AJ10" t="s">
        <v>470</v>
      </c>
      <c r="AK10">
        <v>0.3</v>
      </c>
      <c r="AL10">
        <v>0.91</v>
      </c>
      <c r="AM10" t="s">
        <v>137</v>
      </c>
    </row>
    <row r="11" spans="1:39" ht="21.75" customHeight="1" thickBot="1" x14ac:dyDescent="0.25">
      <c r="A11" s="44" t="s">
        <v>66</v>
      </c>
      <c r="B11" s="53">
        <f>'Begr.-Rechner int. Prod.'!B12</f>
        <v>3.44</v>
      </c>
      <c r="C11" s="54">
        <f>'Begr.-Rechner int. Prod.'!C12</f>
        <v>180</v>
      </c>
      <c r="D11" s="15">
        <f t="shared" si="0"/>
        <v>619.20000000000005</v>
      </c>
      <c r="E11" s="139">
        <f>'Begr.-Rechner int. Prod.'!E12</f>
        <v>0</v>
      </c>
      <c r="F11" s="58">
        <f t="shared" si="1"/>
        <v>0</v>
      </c>
      <c r="G11" s="59">
        <f t="shared" si="2"/>
        <v>0</v>
      </c>
      <c r="H11" s="60">
        <f t="shared" si="3"/>
        <v>0</v>
      </c>
      <c r="I11" t="str">
        <f>VLOOKUP(A11,'Begr.-Rechner int. Prod.'!$A$4:$I$59,9,0)</f>
        <v>Leguminose</v>
      </c>
      <c r="M11" t="s">
        <v>224</v>
      </c>
      <c r="N11" t="s">
        <v>333</v>
      </c>
      <c r="O11" t="str">
        <f t="shared" si="4"/>
        <v/>
      </c>
      <c r="P11" t="str">
        <f t="array" ref="P11">IFERROR(INDEX($O$3:$O$65,MATCH(0,COUNTIF(P$2:$P10,$O$3:$O$65),0)),"")</f>
        <v/>
      </c>
      <c r="Q11" t="str">
        <f t="shared" si="5"/>
        <v>nein</v>
      </c>
      <c r="R11" t="s">
        <v>66</v>
      </c>
      <c r="S11" t="str">
        <f t="shared" si="6"/>
        <v/>
      </c>
      <c r="T11" s="173" t="str">
        <f t="array" ref="T11">IFERROR(INDEX($S$3:$S$65,MATCH(0,COUNTIF(T$2:$T10,$S$3:$S$65),0)),"")</f>
        <v/>
      </c>
      <c r="U11" t="str">
        <f t="shared" si="7"/>
        <v/>
      </c>
      <c r="V11" s="173" t="str">
        <f t="array" ref="V11">IFERROR(INDEX($U$3:$U$65,MATCH(0,COUNTIF(V$2:$V10,$U$3:$U$65),0)),"")</f>
        <v/>
      </c>
      <c r="W11" s="149">
        <v>60</v>
      </c>
      <c r="X11" s="149">
        <f>IFERROR(IF('Begr.-Rechner int. Prod.'!$L$6&lt;&gt;"",VLOOKUP('Begr.-Rechner int. Prod.'!$L$6,'Konventionell (2)'!$AJ$4:$AL$10,2,0),1),"")</f>
        <v>1</v>
      </c>
      <c r="Y11" s="150">
        <f>IFERROR(IF('Begr.-Rechner int. Prod.'!$L$6&lt;&gt;"",VLOOKUP('Begr.-Rechner int. Prod.'!$L$6,'Konventionell (2)'!$AJ$4:$AL$10,3,0),1),"")</f>
        <v>1</v>
      </c>
      <c r="Z11">
        <f>IF('Begr.-Rechner int. Prod.'!$L$6&lt;&gt;"",W11,60)</f>
        <v>60</v>
      </c>
      <c r="AA11" s="147" t="str">
        <f>IF('Begr.-Rechner int. Prod.'!L6&lt;&gt;"",W11*X11*Y11,"")</f>
        <v/>
      </c>
      <c r="AG11" s="173" t="s">
        <v>312</v>
      </c>
    </row>
    <row r="12" spans="1:39" ht="29.25" thickBot="1" x14ac:dyDescent="0.25">
      <c r="A12" s="19" t="s">
        <v>13</v>
      </c>
      <c r="B12" s="53">
        <f>'Begr.-Rechner int. Prod.'!B13</f>
        <v>1.6099999999999999</v>
      </c>
      <c r="C12" s="54">
        <f>'Begr.-Rechner int. Prod.'!C13</f>
        <v>160</v>
      </c>
      <c r="D12" s="15">
        <f t="shared" si="0"/>
        <v>257.59999999999997</v>
      </c>
      <c r="E12" s="139">
        <f>'Begr.-Rechner int. Prod.'!E13</f>
        <v>0</v>
      </c>
      <c r="F12" s="58">
        <f t="shared" si="1"/>
        <v>0</v>
      </c>
      <c r="G12" s="59">
        <f t="shared" si="2"/>
        <v>0</v>
      </c>
      <c r="H12" s="60">
        <f t="shared" si="3"/>
        <v>0</v>
      </c>
      <c r="I12" t="str">
        <f>VLOOKUP(A12,'Begr.-Rechner int. Prod.'!$A$4:$I$59,9,0)</f>
        <v>Leguminose</v>
      </c>
      <c r="M12" t="s">
        <v>224</v>
      </c>
      <c r="N12" t="s">
        <v>333</v>
      </c>
      <c r="O12" t="str">
        <f t="shared" si="4"/>
        <v/>
      </c>
      <c r="P12" t="str">
        <f t="array" ref="P12">IFERROR(INDEX($O$3:$O$65,MATCH(0,COUNTIF(P$2:$P11,$O$3:$O$65),0)),"")</f>
        <v/>
      </c>
      <c r="Q12" t="str">
        <f t="shared" si="5"/>
        <v>nein</v>
      </c>
      <c r="R12" t="s">
        <v>734</v>
      </c>
      <c r="S12" t="str">
        <f t="shared" si="6"/>
        <v/>
      </c>
      <c r="T12" s="173" t="str">
        <f t="array" ref="T12">IFERROR(INDEX($S$3:$S$65,MATCH(0,COUNTIF(T$2:$T11,$S$3:$S$65),0)),"")</f>
        <v/>
      </c>
      <c r="U12" t="str">
        <f t="shared" si="7"/>
        <v/>
      </c>
      <c r="V12" s="173" t="str">
        <f t="array" ref="V12">IFERROR(INDEX($U$3:$U$65,MATCH(0,COUNTIF(V$2:$V11,$U$3:$U$65),0)),"")</f>
        <v/>
      </c>
      <c r="Y12" s="158" t="s">
        <v>473</v>
      </c>
      <c r="Z12">
        <f>IFERROR(IF(Z7="langsam",Z10,IF(Z7="leicht",MIN($Z$10:$Z$11),Z11)),Z11)</f>
        <v>60</v>
      </c>
      <c r="AA12" t="str">
        <f>IFERROR(IF(Z7="langsam",AA10,IF(Z7="leicht",MIN($AA$10:$AA$11),AA11)),"")</f>
        <v/>
      </c>
      <c r="AG12" s="173" t="s">
        <v>357</v>
      </c>
    </row>
    <row r="13" spans="1:39" ht="43.5" thickBot="1" x14ac:dyDescent="0.25">
      <c r="A13" s="17" t="s">
        <v>67</v>
      </c>
      <c r="B13" s="53">
        <f>'Begr.-Rechner int. Prod.'!B14</f>
        <v>13.53</v>
      </c>
      <c r="C13" s="54">
        <f>'Begr.-Rechner int. Prod.'!C14</f>
        <v>3</v>
      </c>
      <c r="D13" s="15">
        <f t="shared" si="0"/>
        <v>40.589999999999996</v>
      </c>
      <c r="E13" s="139">
        <f>'Begr.-Rechner int. Prod.'!E14</f>
        <v>0</v>
      </c>
      <c r="F13" s="58">
        <f t="shared" si="1"/>
        <v>0</v>
      </c>
      <c r="G13" s="59">
        <f t="shared" si="2"/>
        <v>0</v>
      </c>
      <c r="H13" s="60">
        <f t="shared" si="3"/>
        <v>0</v>
      </c>
      <c r="I13" t="str">
        <f>VLOOKUP(A13,'Begr.-Rechner int. Prod.'!$A$4:$I$59,9,0)</f>
        <v>Kreuzblütler</v>
      </c>
      <c r="M13" t="s">
        <v>224</v>
      </c>
      <c r="N13" t="s">
        <v>333</v>
      </c>
      <c r="O13" t="str">
        <f t="shared" si="4"/>
        <v/>
      </c>
      <c r="P13" t="str">
        <f t="array" ref="P13">IFERROR(INDEX($O$3:$O$65,MATCH(0,COUNTIF(P$2:$P12,$O$3:$O$65),0)),"")</f>
        <v/>
      </c>
      <c r="Q13" t="str">
        <f t="shared" si="5"/>
        <v>nein</v>
      </c>
      <c r="R13" t="s">
        <v>735</v>
      </c>
      <c r="S13" t="str">
        <f t="shared" si="6"/>
        <v/>
      </c>
      <c r="T13" s="173" t="str">
        <f t="array" ref="T13">IFERROR(INDEX($S$3:$S$65,MATCH(0,COUNTIF(T$2:$T12,$S$3:$S$65),0)),"")</f>
        <v/>
      </c>
      <c r="U13" t="str">
        <f t="shared" si="7"/>
        <v/>
      </c>
      <c r="V13" s="173" t="str">
        <f t="array" ref="V13">IFERROR(INDEX($U$3:$U$65,MATCH(0,COUNTIF(V$2:$V12,$U$3:$U$65),0)),"")</f>
        <v/>
      </c>
      <c r="Y13" s="158" t="s">
        <v>474</v>
      </c>
      <c r="Z13">
        <f>IFERROR(IF(Z7="langsam",Z9,IF(Z7="leicht",MIN(Z11,Z9),Z11)),Z11)</f>
        <v>60</v>
      </c>
      <c r="AA13" t="str">
        <f>IFERROR(IF(Z7="langsam",AA9,IF(Z7="leicht",MIN(AA11,AA9),AA11)),"")</f>
        <v/>
      </c>
      <c r="AG13" s="173" t="s">
        <v>316</v>
      </c>
    </row>
    <row r="14" spans="1:39" ht="21.75" customHeight="1" thickBot="1" x14ac:dyDescent="0.25">
      <c r="A14" s="17" t="s">
        <v>14</v>
      </c>
      <c r="B14" s="53">
        <f>'Begr.-Rechner int. Prod.'!B15</f>
        <v>10.08</v>
      </c>
      <c r="C14" s="54">
        <f>'Begr.-Rechner int. Prod.'!C15</f>
        <v>30</v>
      </c>
      <c r="D14" s="15">
        <f t="shared" si="0"/>
        <v>302.39999999999998</v>
      </c>
      <c r="E14" s="139">
        <f>'Begr.-Rechner int. Prod.'!E15</f>
        <v>0</v>
      </c>
      <c r="F14" s="58">
        <f t="shared" si="1"/>
        <v>0</v>
      </c>
      <c r="G14" s="59">
        <f t="shared" si="2"/>
        <v>0</v>
      </c>
      <c r="H14" s="60">
        <f t="shared" si="3"/>
        <v>0</v>
      </c>
      <c r="I14" t="str">
        <f>VLOOKUP(A14,'Begr.-Rechner int. Prod.'!$A$4:$I$59,9,0)</f>
        <v>Leguminose</v>
      </c>
      <c r="M14" t="s">
        <v>224</v>
      </c>
      <c r="N14" t="s">
        <v>333</v>
      </c>
      <c r="O14" t="str">
        <f t="shared" si="4"/>
        <v/>
      </c>
      <c r="P14" t="str">
        <f t="array" ref="P14">IFERROR(INDEX($O$3:$O$65,MATCH(0,COUNTIF(P$2:$P13,$O$3:$O$65),0)),"")</f>
        <v/>
      </c>
      <c r="Q14" t="str">
        <f t="shared" si="5"/>
        <v>nein</v>
      </c>
      <c r="R14" t="s">
        <v>14</v>
      </c>
      <c r="S14" t="str">
        <f t="shared" si="6"/>
        <v/>
      </c>
      <c r="T14" s="173" t="str">
        <f t="array" ref="T14">IFERROR(INDEX($S$3:$S$65,MATCH(0,COUNTIF(T$2:$T13,$S$3:$S$65),0)),"")</f>
        <v/>
      </c>
      <c r="U14" t="str">
        <f t="shared" si="7"/>
        <v/>
      </c>
      <c r="V14" s="173" t="str">
        <f t="array" ref="V14">IFERROR(INDEX($U$3:$U$65,MATCH(0,COUNTIF(V$2:$V13,$U$3:$U$65),0)),"")</f>
        <v/>
      </c>
      <c r="AG14" s="173" t="s">
        <v>315</v>
      </c>
    </row>
    <row r="15" spans="1:39" ht="21.75" customHeight="1" thickBot="1" x14ac:dyDescent="0.25">
      <c r="A15" s="20" t="s">
        <v>15</v>
      </c>
      <c r="B15" s="53">
        <f>'Begr.-Rechner int. Prod.'!B16</f>
        <v>2.29</v>
      </c>
      <c r="C15" s="54">
        <f>'Begr.-Rechner int. Prod.'!C16</f>
        <v>150</v>
      </c>
      <c r="D15" s="15">
        <f t="shared" si="0"/>
        <v>343.5</v>
      </c>
      <c r="E15" s="139">
        <f>'Begr.-Rechner int. Prod.'!E16</f>
        <v>0</v>
      </c>
      <c r="F15" s="58">
        <f t="shared" si="1"/>
        <v>0</v>
      </c>
      <c r="G15" s="59">
        <f t="shared" si="2"/>
        <v>0</v>
      </c>
      <c r="H15" s="60">
        <f t="shared" si="3"/>
        <v>0</v>
      </c>
      <c r="I15" t="str">
        <f>VLOOKUP(A15,'Begr.-Rechner int. Prod.'!$A$4:$I$59,9,0)</f>
        <v>Gräser</v>
      </c>
      <c r="M15" t="s">
        <v>333</v>
      </c>
      <c r="N15" t="s">
        <v>224</v>
      </c>
      <c r="O15" t="str">
        <f t="shared" si="4"/>
        <v/>
      </c>
      <c r="P15" t="str">
        <f t="array" ref="P15">IFERROR(INDEX($O$3:$O$65,MATCH(0,COUNTIF(P$2:$P14,$O$3:$O$65),0)),"")</f>
        <v/>
      </c>
      <c r="Q15" t="str">
        <f t="shared" si="5"/>
        <v>nein</v>
      </c>
      <c r="R15" t="s">
        <v>738</v>
      </c>
      <c r="S15" t="str">
        <f t="shared" si="6"/>
        <v/>
      </c>
      <c r="T15" s="173" t="str">
        <f t="array" ref="T15">IFERROR(INDEX($S$3:$S$65,MATCH(0,COUNTIF(T$2:$T14,$S$3:$S$65),0)),"")</f>
        <v/>
      </c>
      <c r="U15" t="str">
        <f t="shared" si="7"/>
        <v/>
      </c>
      <c r="V15" s="173" t="str">
        <f t="array" ref="V15">IFERROR(INDEX($U$3:$U$65,MATCH(0,COUNTIF(V$2:$V14,$U$3:$U$65),0)),"")</f>
        <v/>
      </c>
      <c r="AG15" s="239" t="s">
        <v>427</v>
      </c>
    </row>
    <row r="16" spans="1:39" ht="21.75" customHeight="1" thickBot="1" x14ac:dyDescent="0.25">
      <c r="A16" s="17" t="s">
        <v>645</v>
      </c>
      <c r="B16" s="53">
        <f>'Begr.-Rechner int. Prod.'!B17</f>
        <v>11.77</v>
      </c>
      <c r="C16" s="54">
        <f>'Begr.-Rechner int. Prod.'!C17</f>
        <v>70</v>
      </c>
      <c r="D16" s="15">
        <f t="shared" si="0"/>
        <v>823.9</v>
      </c>
      <c r="E16" s="139">
        <f>'Begr.-Rechner int. Prod.'!E17</f>
        <v>0</v>
      </c>
      <c r="F16" s="58">
        <f t="shared" si="1"/>
        <v>0</v>
      </c>
      <c r="G16" s="59">
        <f t="shared" si="2"/>
        <v>0</v>
      </c>
      <c r="H16" s="60">
        <f t="shared" si="3"/>
        <v>0</v>
      </c>
      <c r="I16" t="str">
        <f>VLOOKUP(A16,'Begr.-Rechner int. Prod.'!$A$4:$I$59,9,0)</f>
        <v>Gräser</v>
      </c>
      <c r="M16" t="s">
        <v>224</v>
      </c>
      <c r="N16" t="s">
        <v>224</v>
      </c>
      <c r="O16" t="str">
        <f t="shared" si="4"/>
        <v/>
      </c>
      <c r="P16" t="str">
        <f t="array" ref="P16">IFERROR(INDEX($O$3:$O$65,MATCH(0,COUNTIF(P$2:$P15,$O$3:$O$65),0)),"")</f>
        <v/>
      </c>
      <c r="Q16" t="str">
        <f t="shared" si="5"/>
        <v>nein</v>
      </c>
      <c r="R16" t="s">
        <v>645</v>
      </c>
      <c r="S16" t="str">
        <f t="shared" si="6"/>
        <v/>
      </c>
      <c r="T16" s="173" t="str">
        <f t="array" ref="T16">IFERROR(INDEX($S$3:$S$65,MATCH(0,COUNTIF(T$2:$T15,$S$3:$S$65),0)),"")</f>
        <v/>
      </c>
      <c r="U16" t="str">
        <f t="shared" si="7"/>
        <v/>
      </c>
      <c r="V16" s="173" t="str">
        <f t="array" ref="V16">IFERROR(INDEX($U$3:$U$65,MATCH(0,COUNTIF(V$2:$V15,$U$3:$U$65),0)),"")</f>
        <v/>
      </c>
      <c r="W16" s="158"/>
    </row>
    <row r="17" spans="1:23" ht="21.75" customHeight="1" thickBot="1" x14ac:dyDescent="0.25">
      <c r="A17" s="17" t="s">
        <v>68</v>
      </c>
      <c r="B17" s="53">
        <f>'Begr.-Rechner int. Prod.'!B18</f>
        <v>21.92</v>
      </c>
      <c r="C17" s="54">
        <f>'Begr.-Rechner int. Prod.'!C18</f>
        <v>2</v>
      </c>
      <c r="D17" s="15">
        <f t="shared" si="0"/>
        <v>43.84</v>
      </c>
      <c r="E17" s="139">
        <f>'Begr.-Rechner int. Prod.'!E18</f>
        <v>0</v>
      </c>
      <c r="F17" s="58">
        <f t="shared" si="1"/>
        <v>0</v>
      </c>
      <c r="G17" s="59">
        <f t="shared" si="2"/>
        <v>0</v>
      </c>
      <c r="H17" s="60">
        <f t="shared" si="3"/>
        <v>0</v>
      </c>
      <c r="I17" t="str">
        <f>VLOOKUP(A17,'Begr.-Rechner int. Prod.'!$A$4:$I$59,9,0)</f>
        <v>Kreuzblütler</v>
      </c>
      <c r="M17" t="s">
        <v>224</v>
      </c>
      <c r="N17" t="s">
        <v>333</v>
      </c>
      <c r="O17" t="str">
        <f t="shared" si="4"/>
        <v/>
      </c>
      <c r="P17" t="str">
        <f t="array" ref="P17">IFERROR(INDEX($O$3:$O$65,MATCH(0,COUNTIF(P$2:$P16,$O$3:$O$65),0)),"")</f>
        <v/>
      </c>
      <c r="Q17" t="str">
        <f t="shared" si="5"/>
        <v>nein</v>
      </c>
      <c r="R17" t="s">
        <v>736</v>
      </c>
      <c r="S17" t="str">
        <f t="shared" si="6"/>
        <v/>
      </c>
      <c r="T17" s="173" t="str">
        <f t="array" ref="T17">IFERROR(INDEX($S$3:$S$65,MATCH(0,COUNTIF(T$2:$T16,$S$3:$S$65),0)),"")</f>
        <v/>
      </c>
      <c r="U17" t="str">
        <f t="shared" si="7"/>
        <v/>
      </c>
      <c r="V17" s="173" t="str">
        <f t="array" ref="V17">IFERROR(INDEX($U$3:$U$65,MATCH(0,COUNTIF(V$2:$V16,$U$3:$U$65),0)),"")</f>
        <v/>
      </c>
      <c r="W17" s="158"/>
    </row>
    <row r="18" spans="1:23" ht="21.75" customHeight="1" thickBot="1" x14ac:dyDescent="0.25">
      <c r="A18" s="17" t="s">
        <v>69</v>
      </c>
      <c r="B18" s="53">
        <f>'Begr.-Rechner int. Prod.'!B19</f>
        <v>4.8049999999999997</v>
      </c>
      <c r="C18" s="54">
        <f>'Begr.-Rechner int. Prod.'!C19</f>
        <v>15</v>
      </c>
      <c r="D18" s="15">
        <f t="shared" si="0"/>
        <v>72.074999999999989</v>
      </c>
      <c r="E18" s="139">
        <f>'Begr.-Rechner int. Prod.'!E19</f>
        <v>0</v>
      </c>
      <c r="F18" s="58">
        <f t="shared" si="1"/>
        <v>0</v>
      </c>
      <c r="G18" s="59">
        <f t="shared" si="2"/>
        <v>0</v>
      </c>
      <c r="H18" s="60">
        <f t="shared" si="3"/>
        <v>0</v>
      </c>
      <c r="I18" t="str">
        <f>VLOOKUP(A18,'Begr.-Rechner int. Prod.'!$A$4:$I$59,9,0)</f>
        <v>Gräser</v>
      </c>
      <c r="M18" t="s">
        <v>224</v>
      </c>
      <c r="N18" t="s">
        <v>224</v>
      </c>
      <c r="O18" t="str">
        <f t="shared" si="4"/>
        <v/>
      </c>
      <c r="P18" t="str">
        <f t="array" ref="P18">IFERROR(INDEX($O$3:$O$65,MATCH(0,COUNTIF(P$2:$P17,$O$3:$O$65),0)),"")</f>
        <v/>
      </c>
      <c r="Q18" t="str">
        <f t="shared" si="5"/>
        <v>nein</v>
      </c>
      <c r="R18" t="s">
        <v>69</v>
      </c>
      <c r="S18" t="str">
        <f t="shared" si="6"/>
        <v/>
      </c>
      <c r="T18" s="173" t="str">
        <f t="array" ref="T18">IFERROR(INDEX($S$3:$S$65,MATCH(0,COUNTIF(T$2:$T17,$S$3:$S$65),0)),"")</f>
        <v/>
      </c>
      <c r="U18" t="str">
        <f t="shared" si="7"/>
        <v/>
      </c>
      <c r="V18" s="173" t="str">
        <f t="array" ref="V18">IFERROR(INDEX($U$3:$U$65,MATCH(0,COUNTIF(V$2:$V17,$U$3:$U$65),0)),"")</f>
        <v/>
      </c>
    </row>
    <row r="19" spans="1:23" ht="21.75" customHeight="1" thickBot="1" x14ac:dyDescent="0.25">
      <c r="A19" s="20" t="s">
        <v>70</v>
      </c>
      <c r="B19" s="53">
        <f>'Begr.-Rechner int. Prod.'!B20</f>
        <v>14.625</v>
      </c>
      <c r="C19" s="54">
        <f>'Begr.-Rechner int. Prod.'!C20</f>
        <v>20</v>
      </c>
      <c r="D19" s="15">
        <f t="shared" si="0"/>
        <v>292.5</v>
      </c>
      <c r="E19" s="139">
        <f>'Begr.-Rechner int. Prod.'!E20</f>
        <v>0</v>
      </c>
      <c r="F19" s="58">
        <f t="shared" si="1"/>
        <v>0</v>
      </c>
      <c r="G19" s="59">
        <f t="shared" si="2"/>
        <v>0</v>
      </c>
      <c r="H19" s="60">
        <f t="shared" si="3"/>
        <v>0</v>
      </c>
      <c r="I19" t="str">
        <f>VLOOKUP(A19,'Begr.-Rechner int. Prod.'!$A$4:$I$59,9,0)</f>
        <v>Leguminose</v>
      </c>
      <c r="M19" t="s">
        <v>224</v>
      </c>
      <c r="N19" t="s">
        <v>333</v>
      </c>
      <c r="O19" t="str">
        <f t="shared" si="4"/>
        <v/>
      </c>
      <c r="P19" t="str">
        <f t="array" ref="P19">IFERROR(INDEX($O$3:$O$65,MATCH(0,COUNTIF(P$2:$P18,$O$3:$O$65),0)),"")</f>
        <v/>
      </c>
      <c r="Q19" t="str">
        <f t="shared" si="5"/>
        <v>nein</v>
      </c>
      <c r="R19" t="s">
        <v>70</v>
      </c>
      <c r="S19" t="str">
        <f t="shared" si="6"/>
        <v/>
      </c>
      <c r="T19" s="173" t="str">
        <f t="array" ref="T19">IFERROR(INDEX($S$3:$S$65,MATCH(0,COUNTIF(T$2:$T18,$S$3:$S$65),0)),"")</f>
        <v/>
      </c>
      <c r="U19" t="str">
        <f t="shared" si="7"/>
        <v/>
      </c>
      <c r="V19" s="173" t="str">
        <f t="array" ref="V19">IFERROR(INDEX($U$3:$U$65,MATCH(0,COUNTIF(V$2:$V18,$U$3:$U$65),0)),"")</f>
        <v/>
      </c>
    </row>
    <row r="20" spans="1:23" ht="21.75" customHeight="1" thickBot="1" x14ac:dyDescent="0.25">
      <c r="A20" s="17" t="s">
        <v>16</v>
      </c>
      <c r="B20" s="53">
        <f>'Begr.-Rechner int. Prod.'!B21</f>
        <v>3.355</v>
      </c>
      <c r="C20" s="54">
        <f>'Begr.-Rechner int. Prod.'!C21</f>
        <v>30</v>
      </c>
      <c r="D20" s="15">
        <f t="shared" si="0"/>
        <v>100.65</v>
      </c>
      <c r="E20" s="139">
        <f>'Begr.-Rechner int. Prod.'!E21</f>
        <v>0</v>
      </c>
      <c r="F20" s="58">
        <f t="shared" si="1"/>
        <v>0</v>
      </c>
      <c r="G20" s="59">
        <f t="shared" si="2"/>
        <v>0</v>
      </c>
      <c r="H20" s="60">
        <f t="shared" si="3"/>
        <v>0</v>
      </c>
      <c r="I20" t="str">
        <f>VLOOKUP(A20,'Begr.-Rechner int. Prod.'!$A$4:$I$59,9,0)</f>
        <v>Leguminose</v>
      </c>
      <c r="M20" t="s">
        <v>224</v>
      </c>
      <c r="N20" t="s">
        <v>333</v>
      </c>
      <c r="O20" t="str">
        <f t="shared" si="4"/>
        <v/>
      </c>
      <c r="P20" t="str">
        <f t="array" ref="P20">IFERROR(INDEX($O$3:$O$65,MATCH(0,COUNTIF(P$2:$P19,$O$3:$O$65),0)),"")</f>
        <v/>
      </c>
      <c r="Q20" t="str">
        <f t="shared" si="5"/>
        <v>nein</v>
      </c>
      <c r="R20" t="s">
        <v>16</v>
      </c>
      <c r="S20" t="str">
        <f t="shared" si="6"/>
        <v/>
      </c>
      <c r="T20" s="173" t="str">
        <f t="array" ref="T20">IFERROR(INDEX($S$3:$S$65,MATCH(0,COUNTIF(T$2:$T19,$S$3:$S$65),0)),"")</f>
        <v/>
      </c>
      <c r="U20" t="str">
        <f t="shared" si="7"/>
        <v/>
      </c>
      <c r="V20" s="173" t="str">
        <f t="array" ref="V20">IFERROR(INDEX($U$3:$U$65,MATCH(0,COUNTIF(V$2:$V19,$U$3:$U$65),0)),"")</f>
        <v/>
      </c>
    </row>
    <row r="21" spans="1:23" ht="21.75" customHeight="1" thickBot="1" x14ac:dyDescent="0.25">
      <c r="A21" s="17" t="s">
        <v>185</v>
      </c>
      <c r="B21" s="53">
        <f>'Begr.-Rechner int. Prod.'!B22</f>
        <v>2.57</v>
      </c>
      <c r="C21" s="54">
        <f>'Begr.-Rechner int. Prod.'!C22</f>
        <v>40</v>
      </c>
      <c r="D21" s="15">
        <f t="shared" si="0"/>
        <v>102.8</v>
      </c>
      <c r="E21" s="139">
        <f>'Begr.-Rechner int. Prod.'!E22</f>
        <v>0</v>
      </c>
      <c r="F21" s="58">
        <f t="shared" si="1"/>
        <v>0</v>
      </c>
      <c r="G21" s="59">
        <f t="shared" si="2"/>
        <v>0</v>
      </c>
      <c r="H21" s="60">
        <f t="shared" si="3"/>
        <v>0</v>
      </c>
      <c r="I21" t="str">
        <f>VLOOKUP(A21,'Begr.-Rechner int. Prod.'!$A$4:$I$59,9,0)</f>
        <v>Gräser</v>
      </c>
      <c r="M21" t="s">
        <v>224</v>
      </c>
      <c r="N21" t="s">
        <v>224</v>
      </c>
      <c r="O21" t="str">
        <f t="shared" si="4"/>
        <v/>
      </c>
      <c r="P21" t="str">
        <f t="array" ref="P21">IFERROR(INDEX($O$3:$O$65,MATCH(0,COUNTIF(P$2:$P20,$O$3:$O$65),0)),"")</f>
        <v/>
      </c>
      <c r="Q21" t="str">
        <f t="shared" si="5"/>
        <v>nein</v>
      </c>
      <c r="R21" t="s">
        <v>185</v>
      </c>
      <c r="S21" t="str">
        <f t="shared" si="6"/>
        <v/>
      </c>
      <c r="T21" s="173" t="str">
        <f t="array" ref="T21">IFERROR(INDEX($S$3:$S$65,MATCH(0,COUNTIF(T$2:$T20,$S$3:$S$65),0)),"")</f>
        <v/>
      </c>
      <c r="U21" t="str">
        <f t="shared" si="7"/>
        <v/>
      </c>
      <c r="V21" s="173" t="str">
        <f t="array" ref="V21">IFERROR(INDEX($U$3:$U$65,MATCH(0,COUNTIF(V$2:$V20,$U$3:$U$65),0)),"")</f>
        <v/>
      </c>
    </row>
    <row r="22" spans="1:23" ht="21.75" customHeight="1" thickBot="1" x14ac:dyDescent="0.25">
      <c r="A22" s="19" t="s">
        <v>378</v>
      </c>
      <c r="B22" s="53">
        <f>'Begr.-Rechner int. Prod.'!B23</f>
        <v>4.53</v>
      </c>
      <c r="C22" s="54">
        <f>'Begr.-Rechner int. Prod.'!C23</f>
        <v>10</v>
      </c>
      <c r="D22" s="15">
        <f t="shared" si="0"/>
        <v>45.300000000000004</v>
      </c>
      <c r="E22" s="139">
        <f>'Begr.-Rechner int. Prod.'!E23</f>
        <v>0</v>
      </c>
      <c r="F22" s="58">
        <f t="shared" si="1"/>
        <v>0</v>
      </c>
      <c r="G22" s="59">
        <f t="shared" si="2"/>
        <v>0</v>
      </c>
      <c r="H22" s="60">
        <f t="shared" si="3"/>
        <v>0</v>
      </c>
      <c r="I22" t="str">
        <f>VLOOKUP(A22,'Begr.-Rechner int. Prod.'!$A$4:$I$59,9,0)</f>
        <v>Kreuzblütler</v>
      </c>
      <c r="M22" t="s">
        <v>224</v>
      </c>
      <c r="N22" t="s">
        <v>333</v>
      </c>
      <c r="O22" t="str">
        <f t="shared" si="4"/>
        <v/>
      </c>
      <c r="P22" t="str">
        <f t="array" ref="P22">IFERROR(INDEX($O$3:$O$65,MATCH(0,COUNTIF(P$2:$P21,$O$3:$O$65),0)),"")</f>
        <v/>
      </c>
      <c r="Q22" t="str">
        <f t="shared" si="5"/>
        <v>nein</v>
      </c>
      <c r="R22" t="s">
        <v>378</v>
      </c>
      <c r="S22" t="str">
        <f t="shared" si="6"/>
        <v/>
      </c>
      <c r="T22" s="173" t="str">
        <f t="array" ref="T22">IFERROR(INDEX($S$3:$S$65,MATCH(0,COUNTIF(T$2:$T21,$S$3:$S$65),0)),"")</f>
        <v/>
      </c>
      <c r="U22" t="str">
        <f t="shared" si="7"/>
        <v/>
      </c>
      <c r="V22" s="173" t="str">
        <f t="array" ref="V22">IFERROR(INDEX($U$3:$U$65,MATCH(0,COUNTIF(V$2:$V21,$U$3:$U$65),0)),"")</f>
        <v/>
      </c>
    </row>
    <row r="23" spans="1:23" ht="21.75" customHeight="1" thickBot="1" x14ac:dyDescent="0.25">
      <c r="A23" s="18" t="s">
        <v>486</v>
      </c>
      <c r="B23" s="53">
        <f>'Begr.-Rechner int. Prod.'!B24</f>
        <v>3.2</v>
      </c>
      <c r="C23" s="54">
        <f>'Begr.-Rechner int. Prod.'!C24</f>
        <v>30</v>
      </c>
      <c r="D23" s="15">
        <f t="shared" si="0"/>
        <v>96</v>
      </c>
      <c r="E23" s="139">
        <f>'Begr.-Rechner int. Prod.'!E24</f>
        <v>0</v>
      </c>
      <c r="F23" s="58">
        <f t="shared" si="1"/>
        <v>0</v>
      </c>
      <c r="G23" s="59">
        <f t="shared" si="2"/>
        <v>0</v>
      </c>
      <c r="H23" s="60">
        <f t="shared" si="3"/>
        <v>0</v>
      </c>
      <c r="I23" t="str">
        <f>VLOOKUP(A23,'Begr.-Rechner int. Prod.'!$A$4:$I$59,9,0)</f>
        <v>Leguminose</v>
      </c>
      <c r="M23" t="s">
        <v>224</v>
      </c>
      <c r="N23" t="s">
        <v>333</v>
      </c>
      <c r="O23" t="str">
        <f t="shared" si="4"/>
        <v/>
      </c>
      <c r="P23" t="str">
        <f t="array" ref="P23">IFERROR(INDEX($O$3:$O$65,MATCH(0,COUNTIF(P$2:$P22,$O$3:$O$65),0)),"")</f>
        <v/>
      </c>
      <c r="Q23" t="str">
        <f t="shared" si="5"/>
        <v>nein</v>
      </c>
      <c r="R23" t="s">
        <v>486</v>
      </c>
      <c r="S23" t="str">
        <f t="shared" si="6"/>
        <v/>
      </c>
      <c r="T23" s="173" t="str">
        <f t="array" ref="T23">IFERROR(INDEX($S$3:$S$65,MATCH(0,COUNTIF(T$2:$T22,$S$3:$S$65),0)),"")</f>
        <v/>
      </c>
      <c r="U23" t="str">
        <f t="shared" si="7"/>
        <v/>
      </c>
      <c r="V23" s="173" t="str">
        <f t="array" ref="V23">IFERROR(INDEX($U$3:$U$65,MATCH(0,COUNTIF(V$2:$V22,$U$3:$U$65),0)),"")</f>
        <v/>
      </c>
    </row>
    <row r="24" spans="1:23" ht="21.75" customHeight="1" thickBot="1" x14ac:dyDescent="0.25">
      <c r="A24" s="20" t="s">
        <v>558</v>
      </c>
      <c r="B24" s="53">
        <f>'Begr.-Rechner int. Prod.'!B25</f>
        <v>12.05</v>
      </c>
      <c r="C24" s="54">
        <f>'Begr.-Rechner int. Prod.'!C25</f>
        <v>12</v>
      </c>
      <c r="D24" s="15">
        <f t="shared" si="0"/>
        <v>144.60000000000002</v>
      </c>
      <c r="E24" s="139">
        <f>'Begr.-Rechner int. Prod.'!E25</f>
        <v>0</v>
      </c>
      <c r="F24" s="58">
        <f t="shared" si="1"/>
        <v>0</v>
      </c>
      <c r="G24" s="59">
        <f t="shared" si="2"/>
        <v>0</v>
      </c>
      <c r="H24" s="60">
        <f t="shared" si="3"/>
        <v>0</v>
      </c>
      <c r="I24" t="str">
        <f>VLOOKUP(A24,'Begr.-Rechner int. Prod.'!$A$4:$I$59,9,0)</f>
        <v>Malvengewächse</v>
      </c>
      <c r="M24" t="s">
        <v>224</v>
      </c>
      <c r="N24" t="s">
        <v>333</v>
      </c>
      <c r="O24" t="str">
        <f t="shared" si="4"/>
        <v/>
      </c>
      <c r="P24" t="str">
        <f t="array" ref="P24">IFERROR(INDEX($O$3:$O$65,MATCH(0,COUNTIF(P$2:$P23,$O$3:$O$65),0)),"")</f>
        <v/>
      </c>
      <c r="Q24" t="str">
        <f t="shared" si="5"/>
        <v>nein</v>
      </c>
      <c r="R24" t="s">
        <v>558</v>
      </c>
      <c r="S24" t="str">
        <f t="shared" si="6"/>
        <v/>
      </c>
      <c r="T24" s="173" t="str">
        <f t="array" ref="T24">IFERROR(INDEX($S$3:$S$65,MATCH(0,COUNTIF(T$2:$T23,$S$3:$S$65),0)),"")</f>
        <v/>
      </c>
      <c r="U24" t="str">
        <f t="shared" si="7"/>
        <v/>
      </c>
      <c r="V24" s="173" t="str">
        <f t="array" ref="V24">IFERROR(INDEX($U$3:$U$65,MATCH(0,COUNTIF(V$2:$V23,$U$3:$U$65),0)),"")</f>
        <v/>
      </c>
    </row>
    <row r="25" spans="1:23" ht="21.75" customHeight="1" thickBot="1" x14ac:dyDescent="0.25">
      <c r="A25" s="22" t="s">
        <v>19</v>
      </c>
      <c r="B25" s="53">
        <f>'Begr.-Rechner int. Prod.'!B26</f>
        <v>6.4949999999999992</v>
      </c>
      <c r="C25" s="54">
        <f>'Begr.-Rechner int. Prod.'!C26</f>
        <v>10</v>
      </c>
      <c r="D25" s="15">
        <f t="shared" si="0"/>
        <v>64.949999999999989</v>
      </c>
      <c r="E25" s="139">
        <f>'Begr.-Rechner int. Prod.'!E26</f>
        <v>0</v>
      </c>
      <c r="F25" s="58">
        <f t="shared" si="1"/>
        <v>0</v>
      </c>
      <c r="G25" s="59">
        <f t="shared" si="2"/>
        <v>0</v>
      </c>
      <c r="H25" s="60">
        <f t="shared" si="3"/>
        <v>0</v>
      </c>
      <c r="I25" t="str">
        <f>VLOOKUP(A25,'Begr.-Rechner int. Prod.'!$A$4:$I$59,9,0)</f>
        <v>Kreuzblütler</v>
      </c>
      <c r="M25" t="s">
        <v>224</v>
      </c>
      <c r="N25" t="s">
        <v>333</v>
      </c>
      <c r="O25" t="str">
        <f t="shared" si="4"/>
        <v/>
      </c>
      <c r="P25" t="str">
        <f t="array" ref="P25">IFERROR(INDEX($O$3:$O$65,MATCH(0,COUNTIF(P$2:$P24,$O$3:$O$65),0)),"")</f>
        <v/>
      </c>
      <c r="Q25" t="str">
        <f t="shared" si="5"/>
        <v>nein</v>
      </c>
      <c r="R25" t="s">
        <v>19</v>
      </c>
      <c r="S25" t="str">
        <f t="shared" si="6"/>
        <v/>
      </c>
      <c r="T25" s="173" t="str">
        <f t="array" ref="T25">IFERROR(INDEX($S$3:$S$65,MATCH(0,COUNTIF(T$2:$T24,$S$3:$S$65),0)),"")</f>
        <v/>
      </c>
      <c r="U25" t="str">
        <f t="shared" si="7"/>
        <v/>
      </c>
      <c r="V25" s="173" t="str">
        <f t="array" ref="V25">IFERROR(INDEX($U$3:$U$65,MATCH(0,COUNTIF(V$2:$V24,$U$3:$U$65),0)),"")</f>
        <v/>
      </c>
    </row>
    <row r="26" spans="1:23" ht="21.75" customHeight="1" thickBot="1" x14ac:dyDescent="0.25">
      <c r="A26" s="23" t="s">
        <v>441</v>
      </c>
      <c r="B26" s="53">
        <f>'Begr.-Rechner int. Prod.'!B27</f>
        <v>3.26</v>
      </c>
      <c r="C26" s="54">
        <f>'Begr.-Rechner int. Prod.'!C27</f>
        <v>80</v>
      </c>
      <c r="D26" s="15">
        <f t="shared" si="0"/>
        <v>260.79999999999995</v>
      </c>
      <c r="E26" s="139">
        <f>'Begr.-Rechner int. Prod.'!E27</f>
        <v>0</v>
      </c>
      <c r="F26" s="58">
        <f t="shared" si="1"/>
        <v>0</v>
      </c>
      <c r="G26" s="59">
        <f t="shared" si="2"/>
        <v>0</v>
      </c>
      <c r="H26" s="60">
        <f t="shared" si="3"/>
        <v>0</v>
      </c>
      <c r="I26" t="str">
        <f>VLOOKUP(A26,'Begr.-Rechner int. Prod.'!$A$4:$I$59,9,0)</f>
        <v>Leguminose</v>
      </c>
      <c r="M26" t="s">
        <v>224</v>
      </c>
      <c r="N26" t="s">
        <v>333</v>
      </c>
      <c r="O26" t="str">
        <f t="shared" si="4"/>
        <v/>
      </c>
      <c r="P26" t="str">
        <f t="array" ref="P26">IFERROR(INDEX($O$3:$O$65,MATCH(0,COUNTIF(P$2:$P25,$O$3:$O$65),0)),"")</f>
        <v/>
      </c>
      <c r="Q26" t="str">
        <f t="shared" si="5"/>
        <v>nein</v>
      </c>
      <c r="R26" t="s">
        <v>441</v>
      </c>
      <c r="S26" t="str">
        <f t="shared" si="6"/>
        <v/>
      </c>
      <c r="T26" s="173" t="str">
        <f t="array" ref="T26">IFERROR(INDEX($S$3:$S$65,MATCH(0,COUNTIF(T$2:$T25,$S$3:$S$65),0)),"")</f>
        <v/>
      </c>
      <c r="U26" t="str">
        <f t="shared" si="7"/>
        <v/>
      </c>
      <c r="V26" s="173" t="str">
        <f t="array" ref="V26">IFERROR(INDEX($U$3:$U$65,MATCH(0,COUNTIF(V$2:$V25,$U$3:$U$65),0)),"")</f>
        <v/>
      </c>
    </row>
    <row r="27" spans="1:23" ht="21.75" customHeight="1" thickBot="1" x14ac:dyDescent="0.25">
      <c r="A27" s="45" t="s">
        <v>21</v>
      </c>
      <c r="B27" s="53">
        <f>'Begr.-Rechner int. Prod.'!B28</f>
        <v>9.3500000000000014</v>
      </c>
      <c r="C27" s="54">
        <f>'Begr.-Rechner int. Prod.'!C28</f>
        <v>25</v>
      </c>
      <c r="D27" s="15">
        <f t="shared" si="0"/>
        <v>233.75000000000003</v>
      </c>
      <c r="E27" s="139">
        <f>'Begr.-Rechner int. Prod.'!E28</f>
        <v>0</v>
      </c>
      <c r="F27" s="58">
        <f t="shared" si="1"/>
        <v>0</v>
      </c>
      <c r="G27" s="59">
        <f t="shared" si="2"/>
        <v>0</v>
      </c>
      <c r="H27" s="60">
        <f t="shared" si="3"/>
        <v>0</v>
      </c>
      <c r="I27" t="str">
        <f>VLOOKUP(A27,'Begr.-Rechner int. Prod.'!$A$4:$I$59,9,0)</f>
        <v>Leguminose</v>
      </c>
      <c r="M27" t="s">
        <v>224</v>
      </c>
      <c r="N27" t="s">
        <v>333</v>
      </c>
      <c r="O27" t="str">
        <f t="shared" si="4"/>
        <v/>
      </c>
      <c r="P27" t="str">
        <f t="array" ref="P27">IFERROR(INDEX($O$3:$O$65,MATCH(0,COUNTIF(P$2:$P26,$O$3:$O$65),0)),"")</f>
        <v/>
      </c>
      <c r="Q27" t="str">
        <f t="shared" si="5"/>
        <v>nein</v>
      </c>
      <c r="R27" t="s">
        <v>21</v>
      </c>
      <c r="S27" t="str">
        <f t="shared" si="6"/>
        <v/>
      </c>
      <c r="T27" s="173" t="str">
        <f t="array" ref="T27">IFERROR(INDEX($S$3:$S$65,MATCH(0,COUNTIF(T$2:$T26,$S$3:$S$65),0)),"")</f>
        <v/>
      </c>
      <c r="U27" t="str">
        <f t="shared" si="7"/>
        <v/>
      </c>
      <c r="V27" s="173" t="str">
        <f t="array" ref="V27">IFERROR(INDEX($U$3:$U$65,MATCH(0,COUNTIF(V$2:$V26,$U$3:$U$65),0)),"")</f>
        <v/>
      </c>
    </row>
    <row r="28" spans="1:23" ht="21.75" customHeight="1" thickBot="1" x14ac:dyDescent="0.25">
      <c r="A28" s="23" t="s">
        <v>23</v>
      </c>
      <c r="B28" s="53">
        <f>'Begr.-Rechner int. Prod.'!B29</f>
        <v>7.754999999999999</v>
      </c>
      <c r="C28" s="54">
        <f>'Begr.-Rechner int. Prod.'!C29</f>
        <v>7</v>
      </c>
      <c r="D28" s="15">
        <f t="shared" si="0"/>
        <v>54.284999999999997</v>
      </c>
      <c r="E28" s="139">
        <f>'Begr.-Rechner int. Prod.'!E29</f>
        <v>0</v>
      </c>
      <c r="F28" s="58">
        <f t="shared" si="1"/>
        <v>0</v>
      </c>
      <c r="G28" s="59">
        <f t="shared" si="2"/>
        <v>0</v>
      </c>
      <c r="H28" s="60">
        <f t="shared" si="3"/>
        <v>0</v>
      </c>
      <c r="I28" t="str">
        <f>VLOOKUP(A28,'Begr.-Rechner int. Prod.'!$A$4:$I$59,9,0)</f>
        <v>Kreuzblütler</v>
      </c>
      <c r="M28" t="s">
        <v>224</v>
      </c>
      <c r="N28" t="s">
        <v>333</v>
      </c>
      <c r="O28" t="str">
        <f t="shared" si="4"/>
        <v/>
      </c>
      <c r="P28" t="str">
        <f t="array" ref="P28">IFERROR(INDEX($O$3:$O$65,MATCH(0,COUNTIF(P$2:$P27,$O$3:$O$65),0)),"")</f>
        <v/>
      </c>
      <c r="Q28" t="str">
        <f t="shared" si="5"/>
        <v>nein</v>
      </c>
      <c r="R28" t="s">
        <v>23</v>
      </c>
      <c r="S28" t="str">
        <f t="shared" si="6"/>
        <v/>
      </c>
      <c r="T28" s="173" t="str">
        <f t="array" ref="T28">IFERROR(INDEX($S$3:$S$65,MATCH(0,COUNTIF(T$2:$T27,$S$3:$S$65),0)),"")</f>
        <v/>
      </c>
      <c r="U28" t="str">
        <f t="shared" si="7"/>
        <v/>
      </c>
      <c r="V28" s="173" t="str">
        <f t="array" ref="V28">IFERROR(INDEX($U$3:$U$65,MATCH(0,COUNTIF(V$2:$V27,$U$3:$U$65),0)),"")</f>
        <v/>
      </c>
    </row>
    <row r="29" spans="1:23" ht="21.75" customHeight="1" thickBot="1" x14ac:dyDescent="0.25">
      <c r="A29" s="17" t="s">
        <v>637</v>
      </c>
      <c r="B29" s="53">
        <f>'Begr.-Rechner int. Prod.'!B30</f>
        <v>4.1050000000000004</v>
      </c>
      <c r="C29" s="54">
        <f>'Begr.-Rechner int. Prod.'!C30</f>
        <v>10</v>
      </c>
      <c r="D29" s="15">
        <f t="shared" si="0"/>
        <v>41.050000000000004</v>
      </c>
      <c r="E29" s="139">
        <f>'Begr.-Rechner int. Prod.'!E30</f>
        <v>0</v>
      </c>
      <c r="F29" s="58">
        <f t="shared" si="1"/>
        <v>0</v>
      </c>
      <c r="G29" s="59">
        <f t="shared" si="2"/>
        <v>0</v>
      </c>
      <c r="H29" s="60">
        <f t="shared" si="3"/>
        <v>0</v>
      </c>
      <c r="I29" t="str">
        <f>VLOOKUP(A29,'Begr.-Rechner int. Prod.'!$A$4:$I$59,9,0)</f>
        <v>Korbblütler</v>
      </c>
      <c r="M29" t="s">
        <v>224</v>
      </c>
      <c r="N29" t="s">
        <v>333</v>
      </c>
      <c r="O29" t="str">
        <f t="shared" si="4"/>
        <v/>
      </c>
      <c r="P29" t="str">
        <f t="array" ref="P29">IFERROR(INDEX($O$3:$O$65,MATCH(0,COUNTIF(P$2:$P28,$O$3:$O$65),0)),"")</f>
        <v/>
      </c>
      <c r="Q29" t="str">
        <f t="shared" si="5"/>
        <v>nein</v>
      </c>
      <c r="R29" t="s">
        <v>637</v>
      </c>
      <c r="S29" t="str">
        <f t="shared" si="6"/>
        <v/>
      </c>
      <c r="T29" s="173" t="str">
        <f t="array" ref="T29">IFERROR(INDEX($S$3:$S$65,MATCH(0,COUNTIF(T$2:$T28,$S$3:$S$65),0)),"")</f>
        <v/>
      </c>
      <c r="U29" t="str">
        <f t="shared" si="7"/>
        <v/>
      </c>
      <c r="V29" s="173" t="str">
        <f t="array" ref="V29">IFERROR(INDEX($U$3:$U$65,MATCH(0,COUNTIF(V$2:$V28,$U$3:$U$65),0)),"")</f>
        <v/>
      </c>
    </row>
    <row r="30" spans="1:23" ht="21.75" customHeight="1" thickBot="1" x14ac:dyDescent="0.25">
      <c r="A30" s="17" t="s">
        <v>483</v>
      </c>
      <c r="B30" s="53">
        <f>'Begr.-Rechner int. Prod.'!B31</f>
        <v>3.74</v>
      </c>
      <c r="C30" s="54">
        <f>'Begr.-Rechner int. Prod.'!C31</f>
        <v>30</v>
      </c>
      <c r="D30" s="15">
        <f t="shared" si="0"/>
        <v>112.2</v>
      </c>
      <c r="E30" s="139">
        <f>'Begr.-Rechner int. Prod.'!E31</f>
        <v>0</v>
      </c>
      <c r="F30" s="58">
        <f t="shared" si="1"/>
        <v>0</v>
      </c>
      <c r="G30" s="59">
        <f t="shared" si="2"/>
        <v>0</v>
      </c>
      <c r="H30" s="60">
        <f t="shared" si="3"/>
        <v>0</v>
      </c>
      <c r="I30" t="str">
        <f>VLOOKUP(A30,'Begr.-Rechner int. Prod.'!$A$4:$I$59,9,0)</f>
        <v>Leingewächse</v>
      </c>
      <c r="M30" t="s">
        <v>224</v>
      </c>
      <c r="N30" t="s">
        <v>333</v>
      </c>
      <c r="O30" t="str">
        <f t="shared" si="4"/>
        <v/>
      </c>
      <c r="P30" t="str">
        <f t="array" ref="P30">IFERROR(INDEX($O$3:$O$65,MATCH(0,COUNTIF(P$2:$P29,$O$3:$O$65),0)),"")</f>
        <v/>
      </c>
      <c r="Q30" t="str">
        <f t="shared" si="5"/>
        <v>nein</v>
      </c>
      <c r="R30" t="s">
        <v>483</v>
      </c>
      <c r="S30" t="str">
        <f t="shared" si="6"/>
        <v/>
      </c>
      <c r="T30" s="173" t="str">
        <f t="array" ref="T30">IFERROR(INDEX($S$3:$S$65,MATCH(0,COUNTIF(T$2:$T29,$S$3:$S$65),0)),"")</f>
        <v/>
      </c>
      <c r="U30" t="str">
        <f t="shared" si="7"/>
        <v/>
      </c>
      <c r="V30" s="173" t="str">
        <f t="array" ref="V30">IFERROR(INDEX($U$3:$U$65,MATCH(0,COUNTIF(V$2:$V29,$U$3:$U$65),0)),"")</f>
        <v/>
      </c>
    </row>
    <row r="31" spans="1:23" ht="36" customHeight="1" thickBot="1" x14ac:dyDescent="0.25">
      <c r="A31" s="17" t="s">
        <v>24</v>
      </c>
      <c r="B31" s="53">
        <f>'Begr.-Rechner int. Prod.'!B32</f>
        <v>3.3650000000000002</v>
      </c>
      <c r="C31" s="54">
        <f>'Begr.-Rechner int. Prod.'!C32</f>
        <v>20</v>
      </c>
      <c r="D31" s="15">
        <f t="shared" si="0"/>
        <v>67.300000000000011</v>
      </c>
      <c r="E31" s="139">
        <f>'Begr.-Rechner int. Prod.'!E32</f>
        <v>0</v>
      </c>
      <c r="F31" s="58">
        <f t="shared" si="1"/>
        <v>0</v>
      </c>
      <c r="G31" s="59">
        <f t="shared" si="2"/>
        <v>0</v>
      </c>
      <c r="H31" s="60">
        <f t="shared" si="3"/>
        <v>0</v>
      </c>
      <c r="I31" t="str">
        <f>VLOOKUP(A31,'Begr.-Rechner int. Prod.'!$A$4:$I$59,9,0)</f>
        <v>Kreuzblütler</v>
      </c>
      <c r="M31" t="s">
        <v>224</v>
      </c>
      <c r="N31" t="s">
        <v>333</v>
      </c>
      <c r="O31" t="str">
        <f t="shared" si="4"/>
        <v/>
      </c>
      <c r="P31" t="str">
        <f t="array" ref="P31">IFERROR(INDEX($O$3:$O$65,MATCH(0,COUNTIF(P$2:$P30,$O$3:$O$65),0)),"")</f>
        <v/>
      </c>
      <c r="Q31" t="str">
        <f t="shared" si="5"/>
        <v>nein</v>
      </c>
      <c r="R31" t="s">
        <v>24</v>
      </c>
      <c r="S31" t="str">
        <f t="shared" si="6"/>
        <v/>
      </c>
      <c r="T31" s="173" t="str">
        <f t="array" ref="T31">IFERROR(INDEX($S$3:$S$65,MATCH(0,COUNTIF(T$2:$T30,$S$3:$S$65),0)),"")</f>
        <v/>
      </c>
      <c r="U31" t="str">
        <f t="shared" si="7"/>
        <v/>
      </c>
      <c r="V31" s="173" t="str">
        <f t="array" ref="V31">IFERROR(INDEX($U$3:$U$65,MATCH(0,COUNTIF(V$2:$V30,$U$3:$U$65),0)),"")</f>
        <v/>
      </c>
    </row>
    <row r="32" spans="1:23" ht="21.75" customHeight="1" thickBot="1" x14ac:dyDescent="0.25">
      <c r="A32" s="20" t="s">
        <v>91</v>
      </c>
      <c r="B32" s="53">
        <f>'Begr.-Rechner int. Prod.'!B33</f>
        <v>3.96</v>
      </c>
      <c r="C32" s="54">
        <f>'Begr.-Rechner int. Prod.'!C33</f>
        <v>25</v>
      </c>
      <c r="D32" s="15">
        <f t="shared" si="0"/>
        <v>99</v>
      </c>
      <c r="E32" s="139">
        <f>'Begr.-Rechner int. Prod.'!E33</f>
        <v>0</v>
      </c>
      <c r="F32" s="58">
        <f t="shared" si="1"/>
        <v>0</v>
      </c>
      <c r="G32" s="59">
        <f t="shared" si="2"/>
        <v>0</v>
      </c>
      <c r="H32" s="60">
        <f t="shared" si="3"/>
        <v>0</v>
      </c>
      <c r="I32" t="str">
        <f>VLOOKUP(A32,'Begr.-Rechner int. Prod.'!$A$4:$I$59,9,0)</f>
        <v>Kreuzblütler</v>
      </c>
      <c r="M32" t="s">
        <v>224</v>
      </c>
      <c r="N32" t="s">
        <v>333</v>
      </c>
      <c r="O32" t="str">
        <f t="shared" si="4"/>
        <v/>
      </c>
      <c r="P32" t="str">
        <f t="array" ref="P32">IFERROR(INDEX($O$3:$O$65,MATCH(0,COUNTIF(P$2:$P31,$O$3:$O$65),0)),"")</f>
        <v/>
      </c>
      <c r="Q32" t="str">
        <f t="shared" si="5"/>
        <v>nein</v>
      </c>
      <c r="R32" t="s">
        <v>24</v>
      </c>
      <c r="S32" t="str">
        <f t="shared" si="6"/>
        <v/>
      </c>
      <c r="T32" s="173" t="str">
        <f t="array" ref="T32">IFERROR(INDEX($S$3:$S$65,MATCH(0,COUNTIF(T$2:$T31,$S$3:$S$65),0)),"")</f>
        <v/>
      </c>
      <c r="U32" t="str">
        <f t="shared" si="7"/>
        <v/>
      </c>
      <c r="V32" s="173" t="str">
        <f t="array" ref="V32">IFERROR(INDEX($U$3:$U$65,MATCH(0,COUNTIF(V$2:$V31,$U$3:$U$65),0)),"")</f>
        <v/>
      </c>
    </row>
    <row r="33" spans="1:22" ht="21.75" customHeight="1" thickBot="1" x14ac:dyDescent="0.25">
      <c r="A33" s="17" t="s">
        <v>25</v>
      </c>
      <c r="B33" s="53">
        <f>'Begr.-Rechner int. Prod.'!B34</f>
        <v>6.99</v>
      </c>
      <c r="C33" s="54">
        <f>'Begr.-Rechner int. Prod.'!C34</f>
        <v>20</v>
      </c>
      <c r="D33" s="15">
        <f t="shared" si="0"/>
        <v>139.80000000000001</v>
      </c>
      <c r="E33" s="139">
        <f>'Begr.-Rechner int. Prod.'!E34</f>
        <v>0</v>
      </c>
      <c r="F33" s="58">
        <f t="shared" si="1"/>
        <v>0</v>
      </c>
      <c r="G33" s="59">
        <f t="shared" si="2"/>
        <v>0</v>
      </c>
      <c r="H33" s="60">
        <f t="shared" si="3"/>
        <v>0</v>
      </c>
      <c r="I33" t="str">
        <f>VLOOKUP(A33,'Begr.-Rechner int. Prod.'!$A$4:$I$59,9,0)</f>
        <v>Leguminose</v>
      </c>
      <c r="M33" t="s">
        <v>224</v>
      </c>
      <c r="N33" t="s">
        <v>333</v>
      </c>
      <c r="O33" t="str">
        <f t="shared" si="4"/>
        <v/>
      </c>
      <c r="P33" t="str">
        <f t="array" ref="P33">IFERROR(INDEX($O$3:$O$65,MATCH(0,COUNTIF(P$2:$P32,$O$3:$O$65),0)),"")</f>
        <v/>
      </c>
      <c r="Q33" t="str">
        <f t="shared" si="5"/>
        <v>nein</v>
      </c>
      <c r="R33" t="s">
        <v>25</v>
      </c>
      <c r="S33" t="str">
        <f t="shared" si="6"/>
        <v/>
      </c>
      <c r="T33" s="173" t="str">
        <f t="array" ref="T33">IFERROR(INDEX($S$3:$S$65,MATCH(0,COUNTIF(T$2:$T32,$S$3:$S$65),0)),"")</f>
        <v/>
      </c>
      <c r="U33" t="str">
        <f t="shared" si="7"/>
        <v/>
      </c>
      <c r="V33" s="173" t="str">
        <f t="array" ref="V33">IFERROR(INDEX($U$3:$U$65,MATCH(0,COUNTIF(V$2:$V32,$U$3:$U$65),0)),"")</f>
        <v/>
      </c>
    </row>
    <row r="34" spans="1:22" ht="21.75" customHeight="1" thickBot="1" x14ac:dyDescent="0.25">
      <c r="A34" s="24" t="s">
        <v>646</v>
      </c>
      <c r="B34" s="53">
        <f>'Begr.-Rechner int. Prod.'!B35</f>
        <v>7.5049999999999999</v>
      </c>
      <c r="C34" s="54">
        <f>'Begr.-Rechner int. Prod.'!C35</f>
        <v>12</v>
      </c>
      <c r="D34" s="15">
        <f t="shared" si="0"/>
        <v>90.06</v>
      </c>
      <c r="E34" s="139">
        <f>'Begr.-Rechner int. Prod.'!E35</f>
        <v>0</v>
      </c>
      <c r="F34" s="58">
        <f t="shared" si="1"/>
        <v>0</v>
      </c>
      <c r="G34" s="59">
        <f t="shared" si="2"/>
        <v>0</v>
      </c>
      <c r="H34" s="60">
        <f t="shared" si="3"/>
        <v>0</v>
      </c>
      <c r="I34" t="str">
        <f>VLOOKUP(A34,'Begr.-Rechner int. Prod.'!$A$4:$I$59,9,0)</f>
        <v>Wasserblattgewächse</v>
      </c>
      <c r="M34" t="s">
        <v>224</v>
      </c>
      <c r="N34" t="s">
        <v>333</v>
      </c>
      <c r="O34" t="str">
        <f t="shared" si="4"/>
        <v/>
      </c>
      <c r="P34" t="str">
        <f t="array" ref="P34">IFERROR(INDEX($O$3:$O$65,MATCH(0,COUNTIF(P$2:$P33,$O$3:$O$65),0)),"")</f>
        <v/>
      </c>
      <c r="Q34" t="str">
        <f t="shared" si="5"/>
        <v>nein</v>
      </c>
      <c r="R34" t="s">
        <v>646</v>
      </c>
      <c r="S34" t="str">
        <f t="shared" si="6"/>
        <v/>
      </c>
      <c r="T34" s="173" t="str">
        <f t="array" ref="T34">IFERROR(INDEX($S$3:$S$65,MATCH(0,COUNTIF(T$2:$T33,$S$3:$S$65),0)),"")</f>
        <v/>
      </c>
      <c r="U34" t="str">
        <f t="shared" si="7"/>
        <v/>
      </c>
      <c r="V34" s="173" t="str">
        <f t="array" ref="V34">IFERROR(INDEX($U$3:$U$65,MATCH(0,COUNTIF(V$2:$V33,$U$3:$U$65),0)),"")</f>
        <v/>
      </c>
    </row>
    <row r="35" spans="1:22" ht="21.75" customHeight="1" thickBot="1" x14ac:dyDescent="0.25">
      <c r="A35" s="24" t="s">
        <v>27</v>
      </c>
      <c r="B35" s="53">
        <f>'Begr.-Rechner int. Prod.'!B36</f>
        <v>2.42</v>
      </c>
      <c r="C35" s="54">
        <f>'Begr.-Rechner int. Prod.'!C36</f>
        <v>140</v>
      </c>
      <c r="D35" s="15">
        <f t="shared" si="0"/>
        <v>338.8</v>
      </c>
      <c r="E35" s="139">
        <f>'Begr.-Rechner int. Prod.'!E36</f>
        <v>0</v>
      </c>
      <c r="F35" s="58">
        <f t="shared" si="1"/>
        <v>0</v>
      </c>
      <c r="G35" s="59">
        <f t="shared" si="2"/>
        <v>0</v>
      </c>
      <c r="H35" s="60">
        <f t="shared" si="3"/>
        <v>0</v>
      </c>
      <c r="I35" t="str">
        <f>VLOOKUP(A35,'Begr.-Rechner int. Prod.'!$A$4:$I$59,9,0)</f>
        <v>Leguminose</v>
      </c>
      <c r="M35" t="s">
        <v>224</v>
      </c>
      <c r="N35" t="s">
        <v>333</v>
      </c>
      <c r="O35" t="str">
        <f t="shared" si="4"/>
        <v/>
      </c>
      <c r="P35" t="str">
        <f t="array" ref="P35">IFERROR(INDEX($O$3:$O$65,MATCH(0,COUNTIF(P$2:$P34,$O$3:$O$65),0)),"")</f>
        <v/>
      </c>
      <c r="Q35" t="str">
        <f t="shared" si="5"/>
        <v>nein</v>
      </c>
      <c r="R35" t="s">
        <v>746</v>
      </c>
      <c r="S35" t="str">
        <f t="shared" si="6"/>
        <v/>
      </c>
      <c r="T35" s="173" t="str">
        <f t="array" ref="T35">IFERROR(INDEX($S$3:$S$65,MATCH(0,COUNTIF(T$2:$T34,$S$3:$S$65),0)),"")</f>
        <v/>
      </c>
      <c r="U35" t="str">
        <f t="shared" si="7"/>
        <v/>
      </c>
      <c r="V35" s="173" t="str">
        <f t="array" ref="V35">IFERROR(INDEX($U$3:$U$65,MATCH(0,COUNTIF(V$2:$V34,$U$3:$U$65),0)),"")</f>
        <v/>
      </c>
    </row>
    <row r="36" spans="1:22" ht="21.75" customHeight="1" thickBot="1" x14ac:dyDescent="0.25">
      <c r="A36" s="20" t="s">
        <v>219</v>
      </c>
      <c r="B36" s="53">
        <f>'Begr.-Rechner int. Prod.'!B37</f>
        <v>19.91</v>
      </c>
      <c r="C36" s="54">
        <f>'Begr.-Rechner int. Prod.'!C37</f>
        <v>10</v>
      </c>
      <c r="D36" s="15">
        <f t="shared" si="0"/>
        <v>199.1</v>
      </c>
      <c r="E36" s="139">
        <f>'Begr.-Rechner int. Prod.'!E37</f>
        <v>0</v>
      </c>
      <c r="F36" s="58">
        <f t="shared" si="1"/>
        <v>0</v>
      </c>
      <c r="G36" s="59">
        <f t="shared" si="2"/>
        <v>0</v>
      </c>
      <c r="H36" s="60">
        <f t="shared" si="3"/>
        <v>0</v>
      </c>
      <c r="I36" t="str">
        <f>VLOOKUP(A36,'Begr.-Rechner int. Prod.'!$A$4:$I$59,9,0)</f>
        <v>Korbblütler</v>
      </c>
      <c r="M36" t="s">
        <v>224</v>
      </c>
      <c r="N36" t="s">
        <v>333</v>
      </c>
      <c r="O36" t="str">
        <f t="shared" si="4"/>
        <v/>
      </c>
      <c r="P36" t="str">
        <f t="array" ref="P36">IFERROR(INDEX($O$3:$O$65,MATCH(0,COUNTIF(P$2:$P35,$O$3:$O$65),0)),"")</f>
        <v/>
      </c>
      <c r="Q36" t="str">
        <f t="shared" si="5"/>
        <v>nein</v>
      </c>
      <c r="R36" t="s">
        <v>219</v>
      </c>
      <c r="S36" t="str">
        <f t="shared" si="6"/>
        <v/>
      </c>
      <c r="T36" s="173" t="str">
        <f t="array" ref="T36">IFERROR(INDEX($S$3:$S$65,MATCH(0,COUNTIF(T$2:$T35,$S$3:$S$65),0)),"")</f>
        <v/>
      </c>
      <c r="U36" t="str">
        <f t="shared" si="7"/>
        <v/>
      </c>
      <c r="V36" s="173" t="str">
        <f t="array" ref="V36">IFERROR(INDEX($U$3:$U$65,MATCH(0,COUNTIF(V$2:$V35,$U$3:$U$65),0)),"")</f>
        <v/>
      </c>
    </row>
    <row r="37" spans="1:22" ht="21.75" customHeight="1" thickBot="1" x14ac:dyDescent="0.25">
      <c r="A37" s="20" t="s">
        <v>30</v>
      </c>
      <c r="B37" s="53">
        <f>'Begr.-Rechner int. Prod.'!B38</f>
        <v>8.32</v>
      </c>
      <c r="C37" s="54">
        <f>'Begr.-Rechner int. Prod.'!C38</f>
        <v>25</v>
      </c>
      <c r="D37" s="15">
        <f t="shared" si="0"/>
        <v>208</v>
      </c>
      <c r="E37" s="139">
        <f>'Begr.-Rechner int. Prod.'!E38</f>
        <v>0</v>
      </c>
      <c r="F37" s="58">
        <f t="shared" si="1"/>
        <v>0</v>
      </c>
      <c r="G37" s="59">
        <f t="shared" si="2"/>
        <v>0</v>
      </c>
      <c r="H37" s="60">
        <f t="shared" si="3"/>
        <v>0</v>
      </c>
      <c r="I37" t="str">
        <f>VLOOKUP(A37,'Begr.-Rechner int. Prod.'!$A$4:$I$59,9,0)</f>
        <v>Leguminose</v>
      </c>
      <c r="M37" t="s">
        <v>224</v>
      </c>
      <c r="N37" t="s">
        <v>333</v>
      </c>
      <c r="O37" t="str">
        <f t="shared" si="4"/>
        <v/>
      </c>
      <c r="P37" t="str">
        <f t="array" ref="P37">IFERROR(INDEX($O$3:$O$65,MATCH(0,COUNTIF(P$2:$P36,$O$3:$O$65),0)),"")</f>
        <v/>
      </c>
      <c r="Q37" t="str">
        <f t="shared" si="5"/>
        <v>nein</v>
      </c>
      <c r="R37" t="s">
        <v>30</v>
      </c>
      <c r="S37" t="str">
        <f t="shared" si="6"/>
        <v/>
      </c>
      <c r="T37" s="173" t="str">
        <f t="array" ref="T37">IFERROR(INDEX($S$3:$S$65,MATCH(0,COUNTIF(T$2:$T36,$S$3:$S$65),0)),"")</f>
        <v/>
      </c>
      <c r="U37" t="str">
        <f t="shared" si="7"/>
        <v/>
      </c>
      <c r="V37" s="173" t="str">
        <f t="array" ref="V37">IFERROR(INDEX($U$3:$U$65,MATCH(0,COUNTIF(V$2:$V36,$U$3:$U$65),0)),"")</f>
        <v/>
      </c>
    </row>
    <row r="38" spans="1:22" ht="33" customHeight="1" thickBot="1" x14ac:dyDescent="0.25">
      <c r="A38" s="20" t="s">
        <v>73</v>
      </c>
      <c r="B38" s="53">
        <f>'Begr.-Rechner int. Prod.'!B39</f>
        <v>2.13</v>
      </c>
      <c r="C38" s="54">
        <f>'Begr.-Rechner int. Prod.'!C39</f>
        <v>110</v>
      </c>
      <c r="D38" s="15">
        <f t="shared" si="0"/>
        <v>234.29999999999998</v>
      </c>
      <c r="E38" s="139">
        <f>'Begr.-Rechner int. Prod.'!E39</f>
        <v>0</v>
      </c>
      <c r="F38" s="58">
        <f t="shared" si="1"/>
        <v>0</v>
      </c>
      <c r="G38" s="59">
        <f t="shared" si="2"/>
        <v>0</v>
      </c>
      <c r="H38" s="60">
        <f t="shared" si="3"/>
        <v>0</v>
      </c>
      <c r="I38" t="str">
        <f>VLOOKUP(A38,'Begr.-Rechner int. Prod.'!$A$4:$I$59,9,0)</f>
        <v>Leguminose</v>
      </c>
      <c r="M38" t="s">
        <v>224</v>
      </c>
      <c r="N38" t="s">
        <v>224</v>
      </c>
      <c r="O38" t="str">
        <f t="shared" si="4"/>
        <v/>
      </c>
      <c r="P38" t="str">
        <f t="array" ref="P38">IFERROR(INDEX($O$3:$O$65,MATCH(0,COUNTIF(P$2:$P37,$O$3:$O$65),0)),"")</f>
        <v/>
      </c>
      <c r="Q38" t="str">
        <f t="shared" si="5"/>
        <v>nein</v>
      </c>
      <c r="R38" t="s">
        <v>746</v>
      </c>
      <c r="S38" t="str">
        <f t="shared" si="6"/>
        <v/>
      </c>
      <c r="T38" s="173" t="str">
        <f t="array" ref="T38">IFERROR(INDEX($S$3:$S$65,MATCH(0,COUNTIF(T$2:$T37,$S$3:$S$65),0)),"")</f>
        <v/>
      </c>
      <c r="U38" t="str">
        <f t="shared" si="7"/>
        <v/>
      </c>
      <c r="V38" s="173" t="str">
        <f t="array" ref="V38">IFERROR(INDEX($U$3:$U$65,MATCH(0,COUNTIF(V$2:$V37,$U$3:$U$65),0)),"")</f>
        <v/>
      </c>
    </row>
    <row r="39" spans="1:22" ht="21.75" customHeight="1" thickBot="1" x14ac:dyDescent="0.25">
      <c r="A39" s="20" t="s">
        <v>686</v>
      </c>
      <c r="B39" s="53">
        <f>'Begr.-Rechner int. Prod.'!B40</f>
        <v>2.3550000000000004</v>
      </c>
      <c r="C39" s="54">
        <f>'Begr.-Rechner int. Prod.'!C40</f>
        <v>115</v>
      </c>
      <c r="D39" s="15">
        <f t="shared" si="0"/>
        <v>270.82500000000005</v>
      </c>
      <c r="E39" s="139">
        <f>'Begr.-Rechner int. Prod.'!E40</f>
        <v>0</v>
      </c>
      <c r="F39" s="58">
        <f t="shared" si="1"/>
        <v>0</v>
      </c>
      <c r="G39" s="59">
        <f t="shared" si="2"/>
        <v>0</v>
      </c>
      <c r="H39" s="60">
        <f t="shared" si="3"/>
        <v>0</v>
      </c>
      <c r="I39" t="str">
        <f>VLOOKUP(A39,'Begr.-Rechner int. Prod.'!$A$4:$I$59,9,0)</f>
        <v>Leguminose</v>
      </c>
      <c r="M39" t="s">
        <v>224</v>
      </c>
      <c r="N39" t="s">
        <v>333</v>
      </c>
      <c r="O39" t="str">
        <f t="shared" si="4"/>
        <v/>
      </c>
      <c r="P39" t="str">
        <f t="array" ref="P39">IFERROR(INDEX($O$3:$O$65,MATCH(0,COUNTIF(P$2:$P38,$O$3:$O$65),0)),"")</f>
        <v/>
      </c>
      <c r="Q39" t="str">
        <f t="shared" si="5"/>
        <v>nein</v>
      </c>
      <c r="R39" t="s">
        <v>737</v>
      </c>
      <c r="S39" t="str">
        <f t="shared" si="6"/>
        <v/>
      </c>
      <c r="T39" s="173" t="str">
        <f t="array" ref="T39">IFERROR(INDEX($S$3:$S$65,MATCH(0,COUNTIF(T$2:$T38,$S$3:$S$65),0)),"")</f>
        <v/>
      </c>
      <c r="U39" t="str">
        <f t="shared" si="7"/>
        <v/>
      </c>
      <c r="V39" s="173" t="str">
        <f t="array" ref="V39">IFERROR(INDEX($U$3:$U$65,MATCH(0,COUNTIF(V$2:$V38,$U$3:$U$65),0)),"")</f>
        <v/>
      </c>
    </row>
    <row r="40" spans="1:22" ht="21.75" customHeight="1" thickBot="1" x14ac:dyDescent="0.25">
      <c r="A40" s="22" t="s">
        <v>92</v>
      </c>
      <c r="B40" s="53">
        <f>'Begr.-Rechner int. Prod.'!B41</f>
        <v>5.72</v>
      </c>
      <c r="C40" s="54">
        <f>'Begr.-Rechner int. Prod.'!C41</f>
        <v>30</v>
      </c>
      <c r="D40" s="15">
        <f t="shared" si="0"/>
        <v>171.6</v>
      </c>
      <c r="E40" s="139">
        <f>'Begr.-Rechner int. Prod.'!E41</f>
        <v>0</v>
      </c>
      <c r="F40" s="58">
        <f t="shared" si="1"/>
        <v>0</v>
      </c>
      <c r="G40" s="59">
        <f t="shared" si="2"/>
        <v>0</v>
      </c>
      <c r="H40" s="60">
        <f t="shared" si="3"/>
        <v>0</v>
      </c>
      <c r="I40" t="str">
        <f>VLOOKUP(A40,'Begr.-Rechner int. Prod.'!$A$4:$I$59,9,0)</f>
        <v>Kreuzblütler</v>
      </c>
      <c r="M40" t="s">
        <v>224</v>
      </c>
      <c r="N40" t="s">
        <v>333</v>
      </c>
      <c r="O40" t="str">
        <f t="shared" si="4"/>
        <v/>
      </c>
      <c r="P40" t="str">
        <f t="array" ref="P40">IFERROR(INDEX($O$3:$O$65,MATCH(0,COUNTIF(P$2:$P39,$O$3:$O$65),0)),"")</f>
        <v/>
      </c>
      <c r="Q40" t="str">
        <f t="shared" si="5"/>
        <v>nein</v>
      </c>
      <c r="R40" t="s">
        <v>92</v>
      </c>
      <c r="S40" t="str">
        <f t="shared" si="6"/>
        <v/>
      </c>
      <c r="T40" s="173" t="str">
        <f t="array" ref="T40">IFERROR(INDEX($S$3:$S$65,MATCH(0,COUNTIF(T$2:$T39,$S$3:$S$65),0)),"")</f>
        <v/>
      </c>
      <c r="U40" t="str">
        <f t="shared" si="7"/>
        <v/>
      </c>
      <c r="V40" s="173" t="str">
        <f t="array" ref="V40">IFERROR(INDEX($U$3:$U$65,MATCH(0,COUNTIF(V$2:$V39,$U$3:$U$65),0)),"")</f>
        <v/>
      </c>
    </row>
    <row r="41" spans="1:22" ht="21.75" customHeight="1" thickBot="1" x14ac:dyDescent="0.25">
      <c r="A41" s="46" t="s">
        <v>481</v>
      </c>
      <c r="B41" s="53">
        <f>'Begr.-Rechner int. Prod.'!B42</f>
        <v>2.02</v>
      </c>
      <c r="C41" s="54">
        <f>'Begr.-Rechner int. Prod.'!C42</f>
        <v>80</v>
      </c>
      <c r="D41" s="15">
        <f t="shared" si="0"/>
        <v>161.6</v>
      </c>
      <c r="E41" s="139">
        <f>'Begr.-Rechner int. Prod.'!E42</f>
        <v>0</v>
      </c>
      <c r="F41" s="58">
        <f t="shared" si="1"/>
        <v>0</v>
      </c>
      <c r="G41" s="59">
        <f t="shared" si="2"/>
        <v>0</v>
      </c>
      <c r="H41" s="60">
        <f t="shared" si="3"/>
        <v>0</v>
      </c>
      <c r="I41" t="str">
        <f>VLOOKUP(A41,'Begr.-Rechner int. Prod.'!$A$4:$I$59,9,0)</f>
        <v>Gräser</v>
      </c>
      <c r="M41" t="s">
        <v>224</v>
      </c>
      <c r="N41" t="s">
        <v>224</v>
      </c>
      <c r="O41" t="str">
        <f t="shared" si="4"/>
        <v/>
      </c>
      <c r="P41" t="str">
        <f t="array" ref="P41">IFERROR(INDEX($O$3:$O$65,MATCH(0,COUNTIF(P$2:$P40,$O$3:$O$65),0)),"")</f>
        <v/>
      </c>
      <c r="Q41" t="str">
        <f t="shared" si="5"/>
        <v>nein</v>
      </c>
      <c r="R41" t="s">
        <v>481</v>
      </c>
      <c r="S41" t="str">
        <f t="shared" si="6"/>
        <v/>
      </c>
      <c r="T41" s="173" t="str">
        <f t="array" ref="T41">IFERROR(INDEX($S$3:$S$65,MATCH(0,COUNTIF(T$2:$T40,$S$3:$S$65),0)),"")</f>
        <v/>
      </c>
      <c r="U41" t="str">
        <f t="shared" si="7"/>
        <v/>
      </c>
      <c r="V41" s="173" t="str">
        <f t="array" ref="V41">IFERROR(INDEX($U$3:$U$65,MATCH(0,COUNTIF(V$2:$V40,$U$3:$U$65),0)),"")</f>
        <v/>
      </c>
    </row>
    <row r="42" spans="1:22" ht="21.75" customHeight="1" thickBot="1" x14ac:dyDescent="0.25">
      <c r="A42" s="47" t="s">
        <v>1059</v>
      </c>
      <c r="B42" s="53">
        <f>'Begr.-Rechner int. Prod.'!B43</f>
        <v>5.95</v>
      </c>
      <c r="C42" s="54">
        <f>'Begr.-Rechner int. Prod.'!C43</f>
        <v>10</v>
      </c>
      <c r="D42" s="15">
        <f t="shared" si="0"/>
        <v>59.5</v>
      </c>
      <c r="E42" s="139">
        <f>'Begr.-Rechner int. Prod.'!E43</f>
        <v>0</v>
      </c>
      <c r="F42" s="58">
        <f t="shared" si="1"/>
        <v>0</v>
      </c>
      <c r="G42" s="59">
        <f t="shared" si="2"/>
        <v>0</v>
      </c>
      <c r="H42" s="60">
        <f t="shared" si="3"/>
        <v>0</v>
      </c>
      <c r="I42" t="str">
        <f>VLOOKUP(A42,'Begr.-Rechner int. Prod.'!$A$4:$I$59,9,0)</f>
        <v>Kreuzblütler</v>
      </c>
      <c r="M42" t="s">
        <v>224</v>
      </c>
      <c r="N42" t="s">
        <v>333</v>
      </c>
      <c r="O42" t="str">
        <f t="shared" si="4"/>
        <v/>
      </c>
      <c r="P42" t="str">
        <f t="array" ref="P42">IFERROR(INDEX($O$3:$O$65,MATCH(0,COUNTIF(P$2:$P41,$O$3:$O$65),0)),"")</f>
        <v/>
      </c>
      <c r="Q42" t="str">
        <f t="shared" si="5"/>
        <v>nein</v>
      </c>
      <c r="R42" t="s">
        <v>32</v>
      </c>
      <c r="S42" t="str">
        <f t="shared" si="6"/>
        <v/>
      </c>
      <c r="T42" s="173" t="str">
        <f t="array" ref="T42">IFERROR(INDEX($S$3:$S$65,MATCH(0,COUNTIF(T$2:$T41,$S$3:$S$65),0)),"")</f>
        <v/>
      </c>
      <c r="U42" t="str">
        <f t="shared" si="7"/>
        <v/>
      </c>
      <c r="V42" s="173" t="str">
        <f t="array" ref="V42">IFERROR(INDEX($U$3:$U$65,MATCH(0,COUNTIF(V$2:$V41,$U$3:$U$65),0)),"")</f>
        <v/>
      </c>
    </row>
    <row r="43" spans="1:22" ht="21.75" customHeight="1" thickBot="1" x14ac:dyDescent="0.25">
      <c r="A43" s="47" t="s">
        <v>33</v>
      </c>
      <c r="B43" s="53">
        <f>'Begr.-Rechner int. Prod.'!B44</f>
        <v>12.71</v>
      </c>
      <c r="C43" s="54">
        <f>'Begr.-Rechner int. Prod.'!C44</f>
        <v>20</v>
      </c>
      <c r="D43" s="15">
        <f t="shared" si="0"/>
        <v>254.20000000000002</v>
      </c>
      <c r="E43" s="139">
        <f>'Begr.-Rechner int. Prod.'!E44</f>
        <v>0</v>
      </c>
      <c r="F43" s="58">
        <f t="shared" si="1"/>
        <v>0</v>
      </c>
      <c r="G43" s="59">
        <f t="shared" si="2"/>
        <v>0</v>
      </c>
      <c r="H43" s="60">
        <f t="shared" si="3"/>
        <v>0</v>
      </c>
      <c r="I43" t="str">
        <f>VLOOKUP(A43,'Begr.-Rechner int. Prod.'!$A$4:$I$59,9,0)</f>
        <v>Leguminose</v>
      </c>
      <c r="M43" t="s">
        <v>224</v>
      </c>
      <c r="N43" t="s">
        <v>333</v>
      </c>
      <c r="O43" t="str">
        <f t="shared" si="4"/>
        <v/>
      </c>
      <c r="P43" t="str">
        <f t="array" ref="P43">IFERROR(INDEX($O$3:$O$65,MATCH(0,COUNTIF(P$2:$P42,$O$3:$O$65),0)),"")</f>
        <v/>
      </c>
      <c r="Q43" t="str">
        <f t="shared" si="5"/>
        <v>nein</v>
      </c>
      <c r="R43" t="s">
        <v>33</v>
      </c>
      <c r="S43" t="str">
        <f t="shared" si="6"/>
        <v/>
      </c>
      <c r="T43" s="173" t="str">
        <f t="array" ref="T43">IFERROR(INDEX($S$3:$S$65,MATCH(0,COUNTIF(T$2:$T42,$S$3:$S$65),0)),"")</f>
        <v/>
      </c>
      <c r="U43" t="str">
        <f t="shared" si="7"/>
        <v/>
      </c>
      <c r="V43" s="173" t="str">
        <f t="array" ref="V43">IFERROR(INDEX($U$3:$U$65,MATCH(0,COUNTIF(V$2:$V42,$U$3:$U$65),0)),"")</f>
        <v/>
      </c>
    </row>
    <row r="44" spans="1:22" ht="21.75" customHeight="1" thickBot="1" x14ac:dyDescent="0.25">
      <c r="A44" s="20" t="s">
        <v>34</v>
      </c>
      <c r="B44" s="53">
        <f>'Begr.-Rechner int. Prod.'!B45</f>
        <v>3.0249999999999999</v>
      </c>
      <c r="C44" s="54">
        <f>'Begr.-Rechner int. Prod.'!C45</f>
        <v>15</v>
      </c>
      <c r="D44" s="15">
        <f t="shared" si="0"/>
        <v>45.375</v>
      </c>
      <c r="E44" s="139">
        <f>'Begr.-Rechner int. Prod.'!E45</f>
        <v>0</v>
      </c>
      <c r="F44" s="58">
        <f t="shared" si="1"/>
        <v>0</v>
      </c>
      <c r="G44" s="59">
        <f t="shared" si="2"/>
        <v>0</v>
      </c>
      <c r="H44" s="60">
        <f t="shared" si="3"/>
        <v>0</v>
      </c>
      <c r="I44" t="str">
        <f>VLOOKUP(A44,'Begr.-Rechner int. Prod.'!$A$4:$I$59,9,0)</f>
        <v>Kreuzblütler</v>
      </c>
      <c r="M44" t="s">
        <v>224</v>
      </c>
      <c r="N44" t="s">
        <v>333</v>
      </c>
      <c r="O44" t="str">
        <f t="shared" si="4"/>
        <v/>
      </c>
      <c r="P44" t="str">
        <f t="array" ref="P44">IFERROR(INDEX($O$3:$O$65,MATCH(0,COUNTIF(P$2:$P43,$O$3:$O$65),0)),"")</f>
        <v/>
      </c>
      <c r="Q44" t="str">
        <f t="shared" si="5"/>
        <v>nein</v>
      </c>
      <c r="R44" t="s">
        <v>34</v>
      </c>
      <c r="S44" t="str">
        <f t="shared" si="6"/>
        <v/>
      </c>
      <c r="T44" s="173" t="str">
        <f t="array" ref="T44">IFERROR(INDEX($S$3:$S$65,MATCH(0,COUNTIF(T$2:$T43,$S$3:$S$65),0)),"")</f>
        <v/>
      </c>
      <c r="U44" t="str">
        <f t="shared" si="7"/>
        <v/>
      </c>
      <c r="V44" s="173" t="str">
        <f t="array" ref="V44">IFERROR(INDEX($U$3:$U$65,MATCH(0,COUNTIF(V$2:$V43,$U$3:$U$65),0)),"")</f>
        <v/>
      </c>
    </row>
    <row r="45" spans="1:22" ht="21.75" customHeight="1" thickBot="1" x14ac:dyDescent="0.25">
      <c r="A45" s="20" t="s">
        <v>648</v>
      </c>
      <c r="B45" s="53">
        <f>'Begr.-Rechner int. Prod.'!B46</f>
        <v>3.5549999999999997</v>
      </c>
      <c r="C45" s="54">
        <f>'Begr.-Rechner int. Prod.'!C46</f>
        <v>20</v>
      </c>
      <c r="D45" s="15">
        <f t="shared" si="0"/>
        <v>71.099999999999994</v>
      </c>
      <c r="E45" s="139">
        <f>'Begr.-Rechner int. Prod.'!E46</f>
        <v>0</v>
      </c>
      <c r="F45" s="58">
        <f t="shared" si="1"/>
        <v>0</v>
      </c>
      <c r="G45" s="59">
        <f t="shared" si="2"/>
        <v>0</v>
      </c>
      <c r="H45" s="60">
        <f t="shared" si="3"/>
        <v>0</v>
      </c>
      <c r="I45" t="str">
        <f>VLOOKUP(A45,'Begr.-Rechner int. Prod.'!$A$4:$I$59,9,0)</f>
        <v>Kreuzblütler</v>
      </c>
      <c r="M45" t="s">
        <v>224</v>
      </c>
      <c r="N45" t="s">
        <v>333</v>
      </c>
      <c r="O45" t="str">
        <f t="shared" si="4"/>
        <v/>
      </c>
      <c r="P45" t="str">
        <f t="array" ref="P45">IFERROR(INDEX($O$3:$O$65,MATCH(0,COUNTIF(P$2:$P44,$O$3:$O$65),0)),"")</f>
        <v/>
      </c>
      <c r="Q45" t="str">
        <f t="shared" si="5"/>
        <v>nein</v>
      </c>
      <c r="R45" t="s">
        <v>34</v>
      </c>
      <c r="S45" t="str">
        <f t="shared" si="6"/>
        <v/>
      </c>
      <c r="T45" s="173" t="str">
        <f t="array" ref="T45">IFERROR(INDEX($S$3:$S$65,MATCH(0,COUNTIF(T$2:$T44,$S$3:$S$65),0)),"")</f>
        <v/>
      </c>
      <c r="U45" t="str">
        <f t="shared" si="7"/>
        <v/>
      </c>
      <c r="V45" s="173" t="str">
        <f t="array" ref="V45">IFERROR(INDEX($U$3:$U$65,MATCH(0,COUNTIF(V$2:$V44,$U$3:$U$65),0)),"")</f>
        <v/>
      </c>
    </row>
    <row r="46" spans="1:22" ht="21.75" customHeight="1" thickBot="1" x14ac:dyDescent="0.25">
      <c r="A46" s="17" t="s">
        <v>36</v>
      </c>
      <c r="B46" s="53">
        <f>'Begr.-Rechner int. Prod.'!B47</f>
        <v>3.8949999999999996</v>
      </c>
      <c r="C46" s="54">
        <f>'Begr.-Rechner int. Prod.'!C47</f>
        <v>15</v>
      </c>
      <c r="D46" s="15">
        <f t="shared" si="0"/>
        <v>58.424999999999997</v>
      </c>
      <c r="E46" s="139">
        <f>'Begr.-Rechner int. Prod.'!E47</f>
        <v>0</v>
      </c>
      <c r="F46" s="58">
        <f t="shared" si="1"/>
        <v>0</v>
      </c>
      <c r="G46" s="59">
        <f t="shared" si="2"/>
        <v>0</v>
      </c>
      <c r="H46" s="60">
        <f t="shared" si="3"/>
        <v>0</v>
      </c>
      <c r="I46" t="str">
        <f>VLOOKUP(A46,'Begr.-Rechner int. Prod.'!$A$4:$I$59,9,0)</f>
        <v>Kreuzblütler</v>
      </c>
      <c r="M46" t="s">
        <v>224</v>
      </c>
      <c r="N46" t="s">
        <v>333</v>
      </c>
      <c r="O46" t="str">
        <f t="shared" si="4"/>
        <v/>
      </c>
      <c r="P46" t="str">
        <f t="array" ref="P46">IFERROR(INDEX($O$3:$O$65,MATCH(0,COUNTIF(P$2:$P45,$O$3:$O$65),0)),"")</f>
        <v/>
      </c>
      <c r="Q46" t="str">
        <f t="shared" si="5"/>
        <v>nein</v>
      </c>
      <c r="R46" t="s">
        <v>739</v>
      </c>
      <c r="S46" t="str">
        <f t="shared" si="6"/>
        <v/>
      </c>
      <c r="T46" s="173" t="str">
        <f t="array" ref="T46">IFERROR(INDEX($S$3:$S$65,MATCH(0,COUNTIF(T$2:$T45,$S$3:$S$65),0)),"")</f>
        <v/>
      </c>
      <c r="U46" t="str">
        <f t="shared" si="7"/>
        <v/>
      </c>
      <c r="V46" s="173" t="str">
        <f t="array" ref="V46">IFERROR(INDEX($U$3:$U$65,MATCH(0,COUNTIF(V$2:$V45,$U$3:$U$65),0)),"")</f>
        <v/>
      </c>
    </row>
    <row r="47" spans="1:22" ht="21.75" customHeight="1" thickBot="1" x14ac:dyDescent="0.25">
      <c r="A47" s="17" t="s">
        <v>214</v>
      </c>
      <c r="B47" s="53">
        <f>'Begr.-Rechner int. Prod.'!B48</f>
        <v>5</v>
      </c>
      <c r="C47" s="54">
        <f>'Begr.-Rechner int. Prod.'!C48</f>
        <v>6</v>
      </c>
      <c r="D47" s="15">
        <f>IF(ISERROR(C47*B47),0,C47*B47)</f>
        <v>30</v>
      </c>
      <c r="E47" s="139">
        <f>'Begr.-Rechner int. Prod.'!E48</f>
        <v>0</v>
      </c>
      <c r="F47" s="58">
        <f t="shared" si="1"/>
        <v>0</v>
      </c>
      <c r="G47" s="59">
        <f t="shared" si="2"/>
        <v>0</v>
      </c>
      <c r="H47" s="60">
        <f t="shared" si="3"/>
        <v>0</v>
      </c>
      <c r="I47" t="str">
        <f>VLOOKUP(A47,'Begr.-Rechner int. Prod.'!$A$4:$I$59,9,0)</f>
        <v>Korbblütler</v>
      </c>
      <c r="M47" t="s">
        <v>224</v>
      </c>
      <c r="N47" t="s">
        <v>333</v>
      </c>
      <c r="O47" t="str">
        <f t="shared" si="4"/>
        <v/>
      </c>
      <c r="P47" t="str">
        <f t="array" ref="P47">IFERROR(INDEX($O$3:$O$65,MATCH(0,COUNTIF(P$2:$P46,$O$3:$O$65),0)),"")</f>
        <v/>
      </c>
      <c r="Q47" t="str">
        <f t="shared" si="5"/>
        <v>nein</v>
      </c>
      <c r="R47" t="s">
        <v>214</v>
      </c>
      <c r="S47" t="str">
        <f t="shared" si="6"/>
        <v/>
      </c>
      <c r="T47" s="173" t="str">
        <f t="array" ref="T47">IFERROR(INDEX($S$3:$S$65,MATCH(0,COUNTIF(T$2:$T46,$S$3:$S$65),0)),"")</f>
        <v/>
      </c>
      <c r="U47" t="str">
        <f t="shared" si="7"/>
        <v/>
      </c>
      <c r="V47" s="173" t="str">
        <f t="array" ref="V47">IFERROR(INDEX($U$3:$U$65,MATCH(0,COUNTIF(V$2:$V46,$U$3:$U$65),0)),"")</f>
        <v/>
      </c>
    </row>
    <row r="48" spans="1:22" ht="21.75" customHeight="1" thickBot="1" x14ac:dyDescent="0.25">
      <c r="A48" s="24" t="s">
        <v>380</v>
      </c>
      <c r="B48" s="53">
        <f>'Begr.-Rechner int. Prod.'!B49</f>
        <v>21.52</v>
      </c>
      <c r="C48" s="54">
        <f>'Begr.-Rechner int. Prod.'!C49</f>
        <v>20</v>
      </c>
      <c r="D48" s="15">
        <f t="shared" si="0"/>
        <v>430.4</v>
      </c>
      <c r="E48" s="139">
        <f>'Begr.-Rechner int. Prod.'!E49</f>
        <v>0</v>
      </c>
      <c r="F48" s="58">
        <f t="shared" si="1"/>
        <v>0</v>
      </c>
      <c r="G48" s="59">
        <f t="shared" si="2"/>
        <v>0</v>
      </c>
      <c r="H48" s="60">
        <f t="shared" si="3"/>
        <v>0</v>
      </c>
      <c r="I48" t="str">
        <f>VLOOKUP(A48,'Begr.-Rechner int. Prod.'!$A$4:$I$59,9,0)</f>
        <v>Wegerichgewächse</v>
      </c>
      <c r="M48" t="s">
        <v>224</v>
      </c>
      <c r="N48" t="s">
        <v>333</v>
      </c>
      <c r="O48" t="str">
        <f t="shared" si="4"/>
        <v/>
      </c>
      <c r="P48" t="str">
        <f t="array" ref="P48">IFERROR(INDEX($O$3:$O$65,MATCH(0,COUNTIF(P$2:$P47,$O$3:$O$65),0)),"")</f>
        <v/>
      </c>
      <c r="Q48" t="str">
        <f t="shared" si="5"/>
        <v>nein</v>
      </c>
      <c r="R48" t="s">
        <v>380</v>
      </c>
      <c r="S48" t="str">
        <f t="shared" si="6"/>
        <v/>
      </c>
      <c r="T48" s="173" t="str">
        <f t="array" ref="T48">IFERROR(INDEX($S$3:$S$65,MATCH(0,COUNTIF(T$2:$T47,$S$3:$S$65),0)),"")</f>
        <v/>
      </c>
      <c r="U48" t="str">
        <f t="shared" si="7"/>
        <v/>
      </c>
      <c r="V48" s="173" t="str">
        <f t="array" ref="V48">IFERROR(INDEX($U$3:$U$65,MATCH(0,COUNTIF(V$2:$V47,$U$3:$U$65),0)),"")</f>
        <v/>
      </c>
    </row>
    <row r="49" spans="1:22" ht="21.75" customHeight="1" thickBot="1" x14ac:dyDescent="0.25">
      <c r="A49" s="24" t="s">
        <v>443</v>
      </c>
      <c r="B49" s="53">
        <f>'Begr.-Rechner int. Prod.'!B50</f>
        <v>6.26</v>
      </c>
      <c r="C49" s="54">
        <f>'Begr.-Rechner int. Prod.'!C50</f>
        <v>25</v>
      </c>
      <c r="D49" s="15">
        <f t="shared" si="0"/>
        <v>156.5</v>
      </c>
      <c r="E49" s="139">
        <f>'Begr.-Rechner int. Prod.'!E50</f>
        <v>0</v>
      </c>
      <c r="F49" s="58">
        <f t="shared" si="1"/>
        <v>0</v>
      </c>
      <c r="G49" s="59">
        <f t="shared" si="2"/>
        <v>0</v>
      </c>
      <c r="H49" s="60">
        <f t="shared" si="3"/>
        <v>0</v>
      </c>
      <c r="I49" t="str">
        <f>VLOOKUP(A49,'Begr.-Rechner int. Prod.'!$A$4:$I$59,9,0)</f>
        <v>Leguminose</v>
      </c>
      <c r="M49" t="s">
        <v>224</v>
      </c>
      <c r="N49" t="s">
        <v>333</v>
      </c>
      <c r="O49" t="str">
        <f t="shared" si="4"/>
        <v/>
      </c>
      <c r="P49" t="str">
        <f t="array" ref="P49">IFERROR(INDEX($O$3:$O$65,MATCH(0,COUNTIF(P$2:$P48,$O$3:$O$65),0)),"")</f>
        <v/>
      </c>
      <c r="Q49" t="str">
        <f t="shared" si="5"/>
        <v>nein</v>
      </c>
      <c r="R49" t="s">
        <v>747</v>
      </c>
      <c r="S49" t="str">
        <f t="shared" si="6"/>
        <v/>
      </c>
      <c r="T49" s="173" t="str">
        <f t="array" ref="T49">IFERROR(INDEX($S$3:$S$65,MATCH(0,COUNTIF(T$2:$T48,$S$3:$S$65),0)),"")</f>
        <v/>
      </c>
      <c r="U49" t="str">
        <f t="shared" si="7"/>
        <v/>
      </c>
      <c r="V49" s="173" t="str">
        <f t="array" ref="V49">IFERROR(INDEX($U$3:$U$65,MATCH(0,COUNTIF(V$2:$V48,$U$3:$U$65),0)),"")</f>
        <v/>
      </c>
    </row>
    <row r="50" spans="1:22" ht="21.75" customHeight="1" thickBot="1" x14ac:dyDescent="0.25">
      <c r="A50" s="20" t="s">
        <v>37</v>
      </c>
      <c r="B50" s="53">
        <f>'Begr.-Rechner int. Prod.'!B51</f>
        <v>3.1550000000000002</v>
      </c>
      <c r="C50" s="54">
        <f>'Begr.-Rechner int. Prod.'!C51</f>
        <v>25</v>
      </c>
      <c r="D50" s="15">
        <f t="shared" si="0"/>
        <v>78.875</v>
      </c>
      <c r="E50" s="139">
        <f>'Begr.-Rechner int. Prod.'!E51</f>
        <v>0</v>
      </c>
      <c r="F50" s="58">
        <f t="shared" si="1"/>
        <v>0</v>
      </c>
      <c r="G50" s="59">
        <f t="shared" si="2"/>
        <v>0</v>
      </c>
      <c r="H50" s="60">
        <f t="shared" si="3"/>
        <v>0</v>
      </c>
      <c r="I50" t="str">
        <f>VLOOKUP(A50,'Begr.-Rechner int. Prod.'!$A$4:$I$59,9,0)</f>
        <v>Gräser</v>
      </c>
      <c r="M50" t="s">
        <v>224</v>
      </c>
      <c r="N50" t="s">
        <v>224</v>
      </c>
      <c r="O50" t="str">
        <f t="shared" si="4"/>
        <v/>
      </c>
      <c r="P50" t="str">
        <f t="array" ref="P50">IFERROR(INDEX($O$3:$O$65,MATCH(0,COUNTIF(P$2:$P49,$O$3:$O$65),0)),"")</f>
        <v/>
      </c>
      <c r="Q50" t="str">
        <f t="shared" si="5"/>
        <v>nein</v>
      </c>
      <c r="R50" t="s">
        <v>37</v>
      </c>
      <c r="S50" t="str">
        <f t="shared" si="6"/>
        <v/>
      </c>
      <c r="T50" s="173" t="str">
        <f t="array" ref="T50">IFERROR(INDEX($S$3:$S$65,MATCH(0,COUNTIF(T$2:$T49,$S$3:$S$65),0)),"")</f>
        <v/>
      </c>
      <c r="U50" t="str">
        <f t="shared" si="7"/>
        <v/>
      </c>
      <c r="V50" s="173" t="str">
        <f t="array" ref="V50">IFERROR(INDEX($U$3:$U$65,MATCH(0,COUNTIF(V$2:$V49,$U$3:$U$65),0)),"")</f>
        <v/>
      </c>
    </row>
    <row r="51" spans="1:22" ht="21.75" customHeight="1" thickBot="1" x14ac:dyDescent="0.25">
      <c r="A51" s="17" t="s">
        <v>205</v>
      </c>
      <c r="B51" s="53">
        <f>'Begr.-Rechner int. Prod.'!B52</f>
        <v>2.46</v>
      </c>
      <c r="C51" s="54">
        <f>'Begr.-Rechner int. Prod.'!C52</f>
        <v>150</v>
      </c>
      <c r="D51" s="15">
        <f t="shared" si="0"/>
        <v>369</v>
      </c>
      <c r="E51" s="139">
        <f>'Begr.-Rechner int. Prod.'!E52</f>
        <v>0</v>
      </c>
      <c r="F51" s="58">
        <f t="shared" si="1"/>
        <v>0</v>
      </c>
      <c r="G51" s="59">
        <f t="shared" si="2"/>
        <v>0</v>
      </c>
      <c r="H51" s="60">
        <f t="shared" si="3"/>
        <v>0</v>
      </c>
      <c r="I51" t="str">
        <f>VLOOKUP(A51,'Begr.-Rechner int. Prod.'!$A$4:$I$59,9,0)</f>
        <v>Gräser</v>
      </c>
      <c r="M51" t="s">
        <v>224</v>
      </c>
      <c r="N51" t="s">
        <v>224</v>
      </c>
      <c r="O51" t="str">
        <f t="shared" si="4"/>
        <v/>
      </c>
      <c r="P51" t="str">
        <f t="array" ref="P51">IFERROR(INDEX($O$3:$O$65,MATCH(0,COUNTIF(P$2:$P50,$O$3:$O$65),0)),"")</f>
        <v/>
      </c>
      <c r="Q51" t="str">
        <f t="shared" si="5"/>
        <v>nein</v>
      </c>
      <c r="R51" t="s">
        <v>738</v>
      </c>
      <c r="S51" t="str">
        <f t="shared" si="6"/>
        <v/>
      </c>
      <c r="T51" s="173" t="str">
        <f t="array" ref="T51">IFERROR(INDEX($S$3:$S$65,MATCH(0,COUNTIF(T$2:$T50,$S$3:$S$65),0)),"")</f>
        <v/>
      </c>
      <c r="U51" t="str">
        <f t="shared" si="7"/>
        <v/>
      </c>
      <c r="V51" s="173" t="str">
        <f t="array" ref="V51">IFERROR(INDEX($U$3:$U$65,MATCH(0,COUNTIF(V$2:$V50,$U$3:$U$65),0)),"")</f>
        <v/>
      </c>
    </row>
    <row r="52" spans="1:22" ht="21.75" customHeight="1" thickBot="1" x14ac:dyDescent="0.25">
      <c r="A52" s="17" t="s">
        <v>38</v>
      </c>
      <c r="B52" s="53">
        <f>'Begr.-Rechner int. Prod.'!B53</f>
        <v>9.8850000000000016</v>
      </c>
      <c r="C52" s="54">
        <f>'Begr.-Rechner int. Prod.'!C53</f>
        <v>12</v>
      </c>
      <c r="D52" s="15">
        <f t="shared" si="0"/>
        <v>118.62000000000002</v>
      </c>
      <c r="E52" s="139">
        <f>'Begr.-Rechner int. Prod.'!E53</f>
        <v>0</v>
      </c>
      <c r="F52" s="58">
        <f t="shared" si="1"/>
        <v>0</v>
      </c>
      <c r="G52" s="59">
        <f t="shared" si="2"/>
        <v>0</v>
      </c>
      <c r="H52" s="60">
        <f t="shared" si="3"/>
        <v>0</v>
      </c>
      <c r="I52" t="str">
        <f>VLOOKUP(A52,'Begr.-Rechner int. Prod.'!$A$4:$I$59,9,0)</f>
        <v>Leguminose</v>
      </c>
      <c r="M52" t="s">
        <v>224</v>
      </c>
      <c r="N52" t="s">
        <v>333</v>
      </c>
      <c r="O52" t="str">
        <f t="shared" si="4"/>
        <v/>
      </c>
      <c r="P52" t="str">
        <f t="array" ref="P52">IFERROR(INDEX($O$3:$O$65,MATCH(0,COUNTIF(P$2:$P51,$O$3:$O$65),0)),"")</f>
        <v/>
      </c>
      <c r="Q52" t="str">
        <f t="shared" si="5"/>
        <v>nein</v>
      </c>
      <c r="R52" t="s">
        <v>38</v>
      </c>
      <c r="S52" t="str">
        <f t="shared" si="6"/>
        <v/>
      </c>
      <c r="T52" s="173" t="str">
        <f t="array" ref="T52">IFERROR(INDEX($S$3:$S$65,MATCH(0,COUNTIF(T$2:$T51,$S$3:$S$65),0)),"")</f>
        <v/>
      </c>
      <c r="U52" t="str">
        <f t="shared" si="7"/>
        <v/>
      </c>
      <c r="V52" s="173" t="str">
        <f t="array" ref="V52">IFERROR(INDEX($U$3:$U$65,MATCH(0,COUNTIF(V$2:$V51,$U$3:$U$65),0)),"")</f>
        <v/>
      </c>
    </row>
    <row r="53" spans="1:22" ht="21.75" customHeight="1" thickBot="1" x14ac:dyDescent="0.25">
      <c r="A53" s="17" t="s">
        <v>381</v>
      </c>
      <c r="B53" s="53">
        <f>'Begr.-Rechner int. Prod.'!B54</f>
        <v>2.31</v>
      </c>
      <c r="C53" s="54">
        <f>'Begr.-Rechner int. Prod.'!C54</f>
        <v>130</v>
      </c>
      <c r="D53" s="15">
        <f t="shared" si="0"/>
        <v>300.3</v>
      </c>
      <c r="E53" s="139">
        <f>'Begr.-Rechner int. Prod.'!E54</f>
        <v>0</v>
      </c>
      <c r="F53" s="58">
        <f t="shared" si="1"/>
        <v>0</v>
      </c>
      <c r="G53" s="59">
        <f t="shared" si="2"/>
        <v>0</v>
      </c>
      <c r="H53" s="60">
        <f t="shared" si="3"/>
        <v>0</v>
      </c>
      <c r="I53" t="str">
        <f>VLOOKUP(A53,'Begr.-Rechner int. Prod.'!$A$4:$I$59,9,0)</f>
        <v>Leguminose</v>
      </c>
      <c r="M53" t="s">
        <v>333</v>
      </c>
      <c r="N53" t="s">
        <v>333</v>
      </c>
      <c r="O53" t="str">
        <f t="shared" si="4"/>
        <v/>
      </c>
      <c r="P53" t="str">
        <f t="array" ref="P53">IFERROR(INDEX($O$3:$O$65,MATCH(0,COUNTIF(P$2:$P52,$O$3:$O$65),0)),"")</f>
        <v/>
      </c>
      <c r="Q53" t="str">
        <f t="shared" si="5"/>
        <v>nein</v>
      </c>
      <c r="R53" t="s">
        <v>734</v>
      </c>
      <c r="S53" t="str">
        <f t="shared" si="6"/>
        <v/>
      </c>
      <c r="T53" s="173" t="str">
        <f t="array" ref="T53">IFERROR(INDEX($S$3:$S$65,MATCH(0,COUNTIF(T$2:$T52,$S$3:$S$65),0)),"")</f>
        <v/>
      </c>
      <c r="U53" t="str">
        <f t="shared" si="7"/>
        <v/>
      </c>
      <c r="V53" s="173" t="str">
        <f t="array" ref="V53">IFERROR(INDEX($U$3:$U$65,MATCH(0,COUNTIF(V$2:$V52,$U$3:$U$65),0)),"")</f>
        <v/>
      </c>
    </row>
    <row r="54" spans="1:22" ht="21.75" customHeight="1" thickBot="1" x14ac:dyDescent="0.25">
      <c r="A54" s="17" t="s">
        <v>40</v>
      </c>
      <c r="B54" s="53">
        <f>'Begr.-Rechner int. Prod.'!B55</f>
        <v>3.1949999999999998</v>
      </c>
      <c r="C54" s="54">
        <f>'Begr.-Rechner int. Prod.'!C55</f>
        <v>15</v>
      </c>
      <c r="D54" s="15">
        <f t="shared" si="0"/>
        <v>47.924999999999997</v>
      </c>
      <c r="E54" s="139">
        <f>'Begr.-Rechner int. Prod.'!E55</f>
        <v>0</v>
      </c>
      <c r="F54" s="58">
        <f t="shared" si="1"/>
        <v>0</v>
      </c>
      <c r="G54" s="59">
        <f t="shared" si="2"/>
        <v>0</v>
      </c>
      <c r="H54" s="60">
        <f t="shared" si="3"/>
        <v>0</v>
      </c>
      <c r="I54" t="str">
        <f>VLOOKUP(A54,'Begr.-Rechner int. Prod.'!$A$4:$I$59,9,0)</f>
        <v>Kreuzblütler</v>
      </c>
      <c r="M54" t="s">
        <v>224</v>
      </c>
      <c r="N54" t="s">
        <v>224</v>
      </c>
      <c r="O54" t="str">
        <f t="shared" si="4"/>
        <v/>
      </c>
      <c r="P54" t="str">
        <f t="array" ref="P54">IFERROR(INDEX($O$3:$O$65,MATCH(0,COUNTIF(P$2:$P53,$O$3:$O$65),0)),"")</f>
        <v/>
      </c>
      <c r="Q54" t="str">
        <f t="shared" si="5"/>
        <v>nein</v>
      </c>
      <c r="R54" t="s">
        <v>739</v>
      </c>
      <c r="S54" t="str">
        <f t="shared" si="6"/>
        <v/>
      </c>
      <c r="T54" s="173" t="str">
        <f t="array" ref="T54">IFERROR(INDEX($S$3:$S$65,MATCH(0,COUNTIF(T$2:$T53,$S$3:$S$65),0)),"")</f>
        <v/>
      </c>
      <c r="U54" t="str">
        <f t="shared" si="7"/>
        <v/>
      </c>
      <c r="V54" s="173" t="str">
        <f t="array" ref="V54">IFERROR(INDEX($U$3:$U$65,MATCH(0,COUNTIF(V$2:$V53,$U$3:$U$65),0)),"")</f>
        <v/>
      </c>
    </row>
    <row r="55" spans="1:22" ht="21.75" customHeight="1" thickBot="1" x14ac:dyDescent="0.25">
      <c r="A55" s="162" t="s">
        <v>482</v>
      </c>
      <c r="B55" s="53">
        <f>'Begr.-Rechner int. Prod.'!B56</f>
        <v>3.75</v>
      </c>
      <c r="C55" s="54">
        <f>'Begr.-Rechner int. Prod.'!C56</f>
        <v>15</v>
      </c>
      <c r="D55" s="15">
        <f t="shared" si="0"/>
        <v>56.25</v>
      </c>
      <c r="E55" s="139">
        <f>'Begr.-Rechner int. Prod.'!E56</f>
        <v>0</v>
      </c>
      <c r="F55" s="58">
        <f t="shared" si="1"/>
        <v>0</v>
      </c>
      <c r="G55" s="59">
        <f t="shared" si="2"/>
        <v>0</v>
      </c>
      <c r="H55" s="60">
        <f t="shared" si="3"/>
        <v>0</v>
      </c>
      <c r="I55" t="str">
        <f>VLOOKUP(A55,'Begr.-Rechner int. Prod.'!$A$4:$I$59,9,0)</f>
        <v>Kreuzblütler</v>
      </c>
      <c r="M55" t="s">
        <v>333</v>
      </c>
      <c r="N55" t="s">
        <v>224</v>
      </c>
      <c r="O55" t="str">
        <f t="shared" si="4"/>
        <v/>
      </c>
      <c r="P55" t="str">
        <f t="array" ref="P55">IFERROR(INDEX($O$3:$O$65,MATCH(0,COUNTIF(P$2:$P54,$O$3:$O$65),0)),"")</f>
        <v/>
      </c>
      <c r="Q55" t="str">
        <f t="shared" si="5"/>
        <v>nein</v>
      </c>
      <c r="R55" t="s">
        <v>740</v>
      </c>
      <c r="S55" t="str">
        <f t="shared" si="6"/>
        <v/>
      </c>
      <c r="T55" s="173" t="str">
        <f t="array" ref="T55">IFERROR(INDEX($S$3:$S$65,MATCH(0,COUNTIF(T$2:$T54,$S$3:$S$65),0)),"")</f>
        <v/>
      </c>
      <c r="U55" t="str">
        <f t="shared" si="7"/>
        <v/>
      </c>
      <c r="V55" s="173" t="str">
        <f t="array" ref="V55">IFERROR(INDEX($U$3:$U$65,MATCH(0,COUNTIF(V$2:$V54,$U$3:$U$65),0)),"")</f>
        <v/>
      </c>
    </row>
    <row r="56" spans="1:22" ht="21.75" customHeight="1" thickBot="1" x14ac:dyDescent="0.25">
      <c r="A56" s="162" t="s">
        <v>41</v>
      </c>
      <c r="B56" s="53">
        <f>'Begr.-Rechner int. Prod.'!B57</f>
        <v>2.7649999999999997</v>
      </c>
      <c r="C56" s="54">
        <f>'Begr.-Rechner int. Prod.'!C57</f>
        <v>100</v>
      </c>
      <c r="D56" s="15">
        <f t="shared" si="0"/>
        <v>276.49999999999994</v>
      </c>
      <c r="E56" s="139">
        <f>'Begr.-Rechner int. Prod.'!E57</f>
        <v>0</v>
      </c>
      <c r="F56" s="58">
        <f t="shared" si="1"/>
        <v>0</v>
      </c>
      <c r="G56" s="59">
        <f t="shared" si="2"/>
        <v>0</v>
      </c>
      <c r="H56" s="60">
        <f t="shared" si="3"/>
        <v>0</v>
      </c>
      <c r="I56" t="str">
        <f>VLOOKUP(A56,'Begr.-Rechner int. Prod.'!$A$4:$I$59,9,0)</f>
        <v>Leguminose</v>
      </c>
      <c r="M56" t="s">
        <v>333</v>
      </c>
      <c r="N56" t="s">
        <v>333</v>
      </c>
      <c r="O56" t="str">
        <f t="shared" si="4"/>
        <v/>
      </c>
      <c r="P56" t="str">
        <f t="array" ref="P56">IFERROR(INDEX($O$3:$O$65,MATCH(0,COUNTIF(P$2:$P55,$O$3:$O$65),0)),"")</f>
        <v/>
      </c>
      <c r="Q56" t="str">
        <f t="shared" si="5"/>
        <v>nein</v>
      </c>
      <c r="R56" t="s">
        <v>737</v>
      </c>
      <c r="S56" t="str">
        <f t="shared" si="6"/>
        <v/>
      </c>
      <c r="T56" s="173" t="str">
        <f t="array" ref="T56">IFERROR(INDEX($S$3:$S$65,MATCH(0,COUNTIF(T$2:$T55,$S$3:$S$65),0)),"")</f>
        <v/>
      </c>
      <c r="U56" t="str">
        <f t="shared" si="7"/>
        <v/>
      </c>
      <c r="V56" s="173" t="str">
        <f t="array" ref="V56">IFERROR(INDEX($U$3:$U$65,MATCH(0,COUNTIF(V$2:$V55,$U$3:$U$65),0)),"")</f>
        <v/>
      </c>
    </row>
    <row r="57" spans="1:22" ht="21.75" customHeight="1" thickBot="1" x14ac:dyDescent="0.25">
      <c r="A57" s="162" t="s">
        <v>385</v>
      </c>
      <c r="B57" s="53">
        <f>'Begr.-Rechner int. Prod.'!B58</f>
        <v>26.01</v>
      </c>
      <c r="C57" s="54">
        <f>'Begr.-Rechner int. Prod.'!C58</f>
        <v>15</v>
      </c>
      <c r="D57" s="15">
        <f t="shared" si="0"/>
        <v>390.15000000000003</v>
      </c>
      <c r="E57" s="139">
        <f>'Begr.-Rechner int. Prod.'!E58</f>
        <v>0</v>
      </c>
      <c r="F57" s="58">
        <f t="shared" si="1"/>
        <v>0</v>
      </c>
      <c r="G57" s="59">
        <f t="shared" si="2"/>
        <v>0</v>
      </c>
      <c r="H57" s="60">
        <f t="shared" si="3"/>
        <v>0</v>
      </c>
      <c r="I57" t="str">
        <f>VLOOKUP(A57,'Begr.-Rechner int. Prod.'!$A$4:$I$59,9,0)</f>
        <v>Korbblütler</v>
      </c>
      <c r="M57" t="s">
        <v>224</v>
      </c>
      <c r="N57" t="s">
        <v>333</v>
      </c>
      <c r="O57" t="str">
        <f t="shared" si="4"/>
        <v/>
      </c>
      <c r="P57" t="str">
        <f t="array" ref="P57">IFERROR(INDEX($O$3:$O$65,MATCH(0,COUNTIF(P$2:$P56,$O$3:$O$65),0)),"")</f>
        <v/>
      </c>
      <c r="Q57" t="str">
        <f t="shared" si="5"/>
        <v>nein</v>
      </c>
      <c r="R57" t="s">
        <v>385</v>
      </c>
      <c r="S57" t="str">
        <f t="shared" si="6"/>
        <v/>
      </c>
      <c r="T57" s="173" t="str">
        <f t="array" ref="T57">IFERROR(INDEX($S$3:$S$65,MATCH(0,COUNTIF(T$2:$T56,$S$3:$S$65),0)),"")</f>
        <v/>
      </c>
      <c r="U57" t="str">
        <f t="shared" si="7"/>
        <v/>
      </c>
      <c r="V57" s="173" t="str">
        <f t="array" ref="V57">IFERROR(INDEX($U$3:$U$65,MATCH(0,COUNTIF(V$2:$V56,$U$3:$U$65),0)),"")</f>
        <v/>
      </c>
    </row>
    <row r="58" spans="1:22" ht="21.75" customHeight="1" thickBot="1" x14ac:dyDescent="0.25">
      <c r="A58" s="162" t="s">
        <v>386</v>
      </c>
      <c r="B58" s="53">
        <f>'Begr.-Rechner int. Prod.'!B59</f>
        <v>5.83</v>
      </c>
      <c r="C58" s="54">
        <f>'Begr.-Rechner int. Prod.'!C59</f>
        <v>15</v>
      </c>
      <c r="D58" s="15">
        <f t="shared" si="0"/>
        <v>87.45</v>
      </c>
      <c r="E58" s="139">
        <f>'Begr.-Rechner int. Prod.'!E59</f>
        <v>0</v>
      </c>
      <c r="F58" s="58">
        <f t="shared" si="1"/>
        <v>0</v>
      </c>
      <c r="G58" s="59">
        <f t="shared" si="2"/>
        <v>0</v>
      </c>
      <c r="H58" s="60">
        <f t="shared" si="3"/>
        <v>0</v>
      </c>
      <c r="I58" t="str">
        <f>VLOOKUP(A58,'Begr.-Rechner int. Prod.'!$A$4:$I$59,9,0)</f>
        <v>Gräser</v>
      </c>
      <c r="M58" t="s">
        <v>224</v>
      </c>
      <c r="N58" t="s">
        <v>224</v>
      </c>
      <c r="O58" t="str">
        <f t="shared" si="4"/>
        <v/>
      </c>
      <c r="P58" t="str">
        <f t="array" ref="P58">IFERROR(INDEX($O$3:$O$65,MATCH(0,COUNTIF(P$2:$P57,$O$3:$O$65),0)),"")</f>
        <v/>
      </c>
      <c r="Q58" t="str">
        <f t="shared" si="5"/>
        <v>nein</v>
      </c>
      <c r="R58" t="s">
        <v>386</v>
      </c>
      <c r="S58" t="str">
        <f t="shared" si="6"/>
        <v/>
      </c>
      <c r="T58" s="173" t="str">
        <f t="array" ref="T58">IFERROR(INDEX($S$3:$S$65,MATCH(0,COUNTIF(T$2:$T57,$S$3:$S$65),0)),"")</f>
        <v/>
      </c>
      <c r="U58" t="str">
        <f t="shared" si="7"/>
        <v/>
      </c>
      <c r="V58" s="173" t="str">
        <f t="array" ref="V58">IFERROR(INDEX($U$3:$U$65,MATCH(0,COUNTIF(V$2:$V57,$U$3:$U$65),0)),"")</f>
        <v/>
      </c>
    </row>
    <row r="59" spans="1:22" ht="21.75" customHeight="1" thickTop="1" thickBot="1" x14ac:dyDescent="0.25">
      <c r="A59" s="180" t="s">
        <v>102</v>
      </c>
      <c r="B59" s="53">
        <f>'Begr.-Rechner int. Prod.'!B60</f>
        <v>0</v>
      </c>
      <c r="C59" s="54">
        <f>'Begr.-Rechner int. Prod.'!C60</f>
        <v>0</v>
      </c>
      <c r="D59" s="15">
        <f t="shared" si="0"/>
        <v>0</v>
      </c>
      <c r="E59" s="139">
        <f>'Begr.-Rechner int. Prod.'!E60</f>
        <v>0</v>
      </c>
      <c r="F59" s="58">
        <f t="shared" si="1"/>
        <v>0</v>
      </c>
      <c r="G59" s="59">
        <f t="shared" si="2"/>
        <v>0</v>
      </c>
      <c r="H59" s="60">
        <f t="shared" si="3"/>
        <v>0</v>
      </c>
      <c r="I59" s="181">
        <f>IF(AND('Begr.-Rechner int. Prod.'!I60="",Q59="ja"),"keine Angabe",'Begr.-Rechner int. Prod.'!I60)</f>
        <v>0</v>
      </c>
      <c r="M59" t="str">
        <f>IF('Begr.-Rechner int. Prod.'!$N60="","nein",IF('Begr.-Rechner int. Prod.'!$N60&lt;&gt;"","ja"))</f>
        <v>nein</v>
      </c>
      <c r="N59" s="163" t="str">
        <f>IF(AND(Q59="ja",'Begr.-Rechner int. Prod.'!I60&lt;&gt;""),'Begr.-Rechner int. Prod.'!L60,"")</f>
        <v/>
      </c>
      <c r="O59" t="str">
        <f t="shared" si="4"/>
        <v/>
      </c>
      <c r="P59" t="str">
        <f t="array" ref="P59">IFERROR(INDEX($O$3:$O$65,MATCH(0,COUNTIF(P$2:$P58,$O$3:$O$65),0)),"")</f>
        <v/>
      </c>
      <c r="Q59" t="str">
        <f t="shared" ref="Q59:Q65" si="8">IF(E59&gt;0,"ja","nein")</f>
        <v>nein</v>
      </c>
      <c r="R59" s="163" t="str">
        <f>IF('Begr.-Rechner int. Prod.'!E60&lt;&gt;"",'Begr.-Rechner int. Prod.'!A60,"")</f>
        <v/>
      </c>
      <c r="S59" s="344" t="str">
        <f t="shared" si="6"/>
        <v/>
      </c>
      <c r="T59" s="173" t="str">
        <f t="array" ref="T59">IFERROR(INDEX($S$3:$S$65,MATCH(0,COUNTIF(T$2:$T58,$S$3:$S$65),0)),"")</f>
        <v/>
      </c>
      <c r="U59" s="346" t="str">
        <f t="shared" si="7"/>
        <v/>
      </c>
      <c r="V59" s="173" t="str">
        <f t="array" ref="V59">IFERROR(INDEX($U$3:$U$65,MATCH(0,COUNTIF(V$2:$V58,$U$3:$U$65),0)),"")</f>
        <v/>
      </c>
    </row>
    <row r="60" spans="1:22" ht="21.75" customHeight="1" thickTop="1" thickBot="1" x14ac:dyDescent="0.25">
      <c r="A60" s="182" t="s">
        <v>103</v>
      </c>
      <c r="B60" s="53">
        <f>'Begr.-Rechner int. Prod.'!B61</f>
        <v>0</v>
      </c>
      <c r="C60" s="54">
        <f>'Begr.-Rechner int. Prod.'!C61</f>
        <v>0</v>
      </c>
      <c r="D60" s="15">
        <f t="shared" si="0"/>
        <v>0</v>
      </c>
      <c r="E60" s="139">
        <f>'Begr.-Rechner int. Prod.'!E61</f>
        <v>0</v>
      </c>
      <c r="F60" s="58">
        <f t="shared" si="1"/>
        <v>0</v>
      </c>
      <c r="G60" s="59">
        <f t="shared" si="2"/>
        <v>0</v>
      </c>
      <c r="H60" s="60">
        <f t="shared" si="3"/>
        <v>0</v>
      </c>
      <c r="I60" s="181">
        <f>IF(AND('Begr.-Rechner int. Prod.'!I61="",Q60="ja"),"keine Angabe",'Begr.-Rechner int. Prod.'!I61)</f>
        <v>0</v>
      </c>
      <c r="M60" t="str">
        <f>IF('Begr.-Rechner int. Prod.'!$N61="","nein",IF('Begr.-Rechner int. Prod.'!$N61&lt;&gt;"","ja"))</f>
        <v>nein</v>
      </c>
      <c r="N60" s="163" t="str">
        <f>IF(AND(Q60="ja",'Begr.-Rechner int. Prod.'!I61&lt;&gt;""),'Begr.-Rechner int. Prod.'!L61,"")</f>
        <v/>
      </c>
      <c r="O60" t="str">
        <f t="shared" si="4"/>
        <v/>
      </c>
      <c r="P60" t="str">
        <f t="array" ref="P60">IFERROR(INDEX($O$3:$O$65,MATCH(0,COUNTIF(P$2:$P59,$O$3:$O$65),0)),"")</f>
        <v/>
      </c>
      <c r="Q60" t="str">
        <f t="shared" si="8"/>
        <v>nein</v>
      </c>
      <c r="R60" s="163" t="str">
        <f>IF('Begr.-Rechner int. Prod.'!E61&lt;&gt;"",'Begr.-Rechner int. Prod.'!A61,"")</f>
        <v/>
      </c>
      <c r="S60" s="344" t="str">
        <f t="shared" si="6"/>
        <v/>
      </c>
      <c r="T60" s="173" t="str">
        <f t="array" ref="T60">IFERROR(INDEX($S$3:$S$65,MATCH(0,COUNTIF(T$2:$T59,$S$3:$S$65),0)),"")</f>
        <v/>
      </c>
      <c r="U60" s="346" t="str">
        <f t="shared" si="7"/>
        <v/>
      </c>
      <c r="V60" s="173" t="str">
        <f t="array" ref="V60">IFERROR(INDEX($U$3:$U$65,MATCH(0,COUNTIF(V$2:$V59,$U$3:$U$65),0)),"")</f>
        <v/>
      </c>
    </row>
    <row r="61" spans="1:22" ht="21.75" customHeight="1" thickTop="1" thickBot="1" x14ac:dyDescent="0.25">
      <c r="A61" s="182" t="s">
        <v>104</v>
      </c>
      <c r="B61" s="53">
        <f>'Begr.-Rechner int. Prod.'!B62</f>
        <v>0</v>
      </c>
      <c r="C61" s="54">
        <f>'Begr.-Rechner int. Prod.'!C62</f>
        <v>0</v>
      </c>
      <c r="D61" s="15">
        <f t="shared" si="0"/>
        <v>0</v>
      </c>
      <c r="E61" s="139">
        <f>'Begr.-Rechner int. Prod.'!E62</f>
        <v>0</v>
      </c>
      <c r="F61" s="58">
        <f t="shared" si="1"/>
        <v>0</v>
      </c>
      <c r="G61" s="59">
        <f t="shared" si="2"/>
        <v>0</v>
      </c>
      <c r="H61" s="60">
        <f t="shared" si="3"/>
        <v>0</v>
      </c>
      <c r="I61" s="181">
        <f>IF(AND('Begr.-Rechner int. Prod.'!I62="",Q61="ja"),"keine Angabe",'Begr.-Rechner int. Prod.'!I62)</f>
        <v>0</v>
      </c>
      <c r="M61" t="str">
        <f>IF('Begr.-Rechner int. Prod.'!$N62="","nein",IF('Begr.-Rechner int. Prod.'!$N62&lt;&gt;"","ja"))</f>
        <v>nein</v>
      </c>
      <c r="N61" s="163" t="str">
        <f>IF(AND(Q61="ja",'Begr.-Rechner int. Prod.'!I62&lt;&gt;""),'Begr.-Rechner int. Prod.'!L62,"")</f>
        <v/>
      </c>
      <c r="O61" t="str">
        <f t="shared" si="4"/>
        <v/>
      </c>
      <c r="P61" t="str">
        <f t="array" ref="P61">IFERROR(INDEX($O$3:$O$65,MATCH(0,COUNTIF(P$2:$P60,$O$3:$O$65),0)),"")</f>
        <v/>
      </c>
      <c r="Q61" t="str">
        <f t="shared" si="8"/>
        <v>nein</v>
      </c>
      <c r="R61" s="163" t="str">
        <f>IF('Begr.-Rechner int. Prod.'!E62&lt;&gt;"",'Begr.-Rechner int. Prod.'!A62,"")</f>
        <v/>
      </c>
      <c r="S61" s="344" t="str">
        <f t="shared" si="6"/>
        <v/>
      </c>
      <c r="T61" s="173" t="str">
        <f t="array" ref="T61">IFERROR(INDEX($S$3:$S$65,MATCH(0,COUNTIF(T$2:$T60,$S$3:$S$65),0)),"")</f>
        <v/>
      </c>
      <c r="U61" s="346" t="str">
        <f t="shared" si="7"/>
        <v/>
      </c>
      <c r="V61" s="173" t="str">
        <f t="array" ref="V61">IFERROR(INDEX($U$3:$U$65,MATCH(0,COUNTIF(V$2:$V60,$U$3:$U$65),0)),"")</f>
        <v/>
      </c>
    </row>
    <row r="62" spans="1:22" ht="21.75" customHeight="1" thickTop="1" thickBot="1" x14ac:dyDescent="0.25">
      <c r="A62" s="182" t="s">
        <v>105</v>
      </c>
      <c r="B62" s="53">
        <f>'Begr.-Rechner int. Prod.'!B63</f>
        <v>0</v>
      </c>
      <c r="C62" s="54">
        <f>'Begr.-Rechner int. Prod.'!C63</f>
        <v>0</v>
      </c>
      <c r="D62" s="15">
        <f t="shared" si="0"/>
        <v>0</v>
      </c>
      <c r="E62" s="139">
        <f>'Begr.-Rechner int. Prod.'!E63</f>
        <v>0</v>
      </c>
      <c r="F62" s="58">
        <f t="shared" si="1"/>
        <v>0</v>
      </c>
      <c r="G62" s="59">
        <f t="shared" si="2"/>
        <v>0</v>
      </c>
      <c r="H62" s="60">
        <f t="shared" si="3"/>
        <v>0</v>
      </c>
      <c r="I62" s="181">
        <f>IF(AND('Begr.-Rechner int. Prod.'!I63="",Q62="ja"),"keine Angabe",'Begr.-Rechner int. Prod.'!I63)</f>
        <v>0</v>
      </c>
      <c r="M62" t="str">
        <f>IF('Begr.-Rechner int. Prod.'!$N63="","nein",IF('Begr.-Rechner int. Prod.'!$N63&lt;&gt;"","ja"))</f>
        <v>nein</v>
      </c>
      <c r="N62" s="163" t="str">
        <f>IF(AND(Q62="ja",'Begr.-Rechner int. Prod.'!I63&lt;&gt;""),'Begr.-Rechner int. Prod.'!L63,"")</f>
        <v/>
      </c>
      <c r="O62" t="str">
        <f t="shared" si="4"/>
        <v/>
      </c>
      <c r="P62" t="str">
        <f t="array" ref="P62">IFERROR(INDEX($O$3:$O$65,MATCH(0,COUNTIF(P$2:$P61,$O$3:$O$65),0)),"")</f>
        <v/>
      </c>
      <c r="Q62" t="str">
        <f t="shared" si="8"/>
        <v>nein</v>
      </c>
      <c r="R62" s="163" t="str">
        <f>IF('Begr.-Rechner int. Prod.'!E63&lt;&gt;"",'Begr.-Rechner int. Prod.'!A63,"")</f>
        <v/>
      </c>
      <c r="S62" s="344" t="str">
        <f t="shared" si="6"/>
        <v/>
      </c>
      <c r="T62" s="173" t="str">
        <f t="array" ref="T62">IFERROR(INDEX($S$3:$S$65,MATCH(0,COUNTIF(T$2:$T61,$S$3:$S$65),0)),"")</f>
        <v/>
      </c>
      <c r="U62" s="346" t="str">
        <f t="shared" si="7"/>
        <v/>
      </c>
      <c r="V62" s="173" t="str">
        <f t="array" ref="V62">IFERROR(INDEX($U$3:$U$65,MATCH(0,COUNTIF(V$2:$V61,$U$3:$U$65),0)),"")</f>
        <v/>
      </c>
    </row>
    <row r="63" spans="1:22" ht="21.75" customHeight="1" thickTop="1" thickBot="1" x14ac:dyDescent="0.25">
      <c r="A63" s="182" t="s">
        <v>106</v>
      </c>
      <c r="B63" s="53">
        <f>'Begr.-Rechner int. Prod.'!B64</f>
        <v>0</v>
      </c>
      <c r="C63" s="54">
        <f>'Begr.-Rechner int. Prod.'!C64</f>
        <v>0</v>
      </c>
      <c r="D63" s="15">
        <f t="shared" si="0"/>
        <v>0</v>
      </c>
      <c r="E63" s="139">
        <f>'Begr.-Rechner int. Prod.'!E64</f>
        <v>0</v>
      </c>
      <c r="F63" s="58">
        <f t="shared" si="1"/>
        <v>0</v>
      </c>
      <c r="G63" s="59">
        <f t="shared" si="2"/>
        <v>0</v>
      </c>
      <c r="H63" s="60">
        <f t="shared" si="3"/>
        <v>0</v>
      </c>
      <c r="I63" s="181">
        <f>IF(AND('Begr.-Rechner int. Prod.'!I64="",Q63="ja"),"keine Angabe",'Begr.-Rechner int. Prod.'!I64)</f>
        <v>0</v>
      </c>
      <c r="M63" t="str">
        <f>IF('Begr.-Rechner int. Prod.'!$N64="","nein",IF('Begr.-Rechner int. Prod.'!$N64&lt;&gt;"","ja"))</f>
        <v>nein</v>
      </c>
      <c r="N63" s="163" t="str">
        <f>IF(AND(Q63="ja",'Begr.-Rechner int. Prod.'!I64&lt;&gt;""),'Begr.-Rechner int. Prod.'!L64,"")</f>
        <v/>
      </c>
      <c r="O63" t="str">
        <f t="shared" si="4"/>
        <v/>
      </c>
      <c r="P63" t="str">
        <f t="array" ref="P63">IFERROR(INDEX($O$3:$O$65,MATCH(0,COUNTIF(P$2:$P62,$O$3:$O$65),0)),"")</f>
        <v/>
      </c>
      <c r="Q63" t="str">
        <f t="shared" si="8"/>
        <v>nein</v>
      </c>
      <c r="R63" s="163" t="str">
        <f>IF('Begr.-Rechner int. Prod.'!E64&lt;&gt;"",'Begr.-Rechner int. Prod.'!A64,"")</f>
        <v/>
      </c>
      <c r="S63" s="344" t="str">
        <f t="shared" si="6"/>
        <v/>
      </c>
      <c r="T63" s="173" t="str">
        <f t="array" ref="T63">IFERROR(INDEX($S$3:$S$65,MATCH(0,COUNTIF(T$2:$T62,$S$3:$S$65),0)),"")</f>
        <v/>
      </c>
      <c r="U63" s="346" t="str">
        <f t="shared" si="7"/>
        <v/>
      </c>
      <c r="V63" s="173" t="str">
        <f t="array" ref="V63">IFERROR(INDEX($U$3:$U$65,MATCH(0,COUNTIF(V$2:$V62,$U$3:$U$65),0)),"")</f>
        <v/>
      </c>
    </row>
    <row r="64" spans="1:22" ht="21.75" customHeight="1" thickTop="1" thickBot="1" x14ac:dyDescent="0.25">
      <c r="A64" s="182" t="s">
        <v>107</v>
      </c>
      <c r="B64" s="53">
        <f>'Begr.-Rechner int. Prod.'!B65</f>
        <v>0</v>
      </c>
      <c r="C64" s="54">
        <f>'Begr.-Rechner int. Prod.'!C65</f>
        <v>0</v>
      </c>
      <c r="D64" s="15">
        <f t="shared" si="0"/>
        <v>0</v>
      </c>
      <c r="E64" s="139">
        <f>'Begr.-Rechner int. Prod.'!E65</f>
        <v>0</v>
      </c>
      <c r="F64" s="58">
        <f t="shared" si="1"/>
        <v>0</v>
      </c>
      <c r="G64" s="59">
        <f t="shared" si="2"/>
        <v>0</v>
      </c>
      <c r="H64" s="60">
        <f t="shared" si="3"/>
        <v>0</v>
      </c>
      <c r="I64" s="181">
        <f>IF(AND('Begr.-Rechner int. Prod.'!I65="",Q64="ja"),"keine Angabe",'Begr.-Rechner int. Prod.'!I65)</f>
        <v>0</v>
      </c>
      <c r="M64" t="str">
        <f>IF('Begr.-Rechner int. Prod.'!$N65="","nein",IF('Begr.-Rechner int. Prod.'!$N65&lt;&gt;"","ja"))</f>
        <v>nein</v>
      </c>
      <c r="N64" s="163" t="str">
        <f>IF(AND(Q64="ja",'Begr.-Rechner int. Prod.'!I65&lt;&gt;""),'Begr.-Rechner int. Prod.'!L65,"")</f>
        <v/>
      </c>
      <c r="O64" t="str">
        <f t="shared" si="4"/>
        <v/>
      </c>
      <c r="P64" t="str">
        <f t="array" ref="P64">IFERROR(INDEX($O$3:$O$65,MATCH(0,COUNTIF(P$2:$P63,$O$3:$O$65),0)),"")</f>
        <v/>
      </c>
      <c r="Q64" t="str">
        <f t="shared" si="8"/>
        <v>nein</v>
      </c>
      <c r="R64" s="163" t="str">
        <f>IF('Begr.-Rechner int. Prod.'!E65&lt;&gt;"",'Begr.-Rechner int. Prod.'!A65,"")</f>
        <v/>
      </c>
      <c r="S64" s="344" t="str">
        <f t="shared" si="6"/>
        <v/>
      </c>
      <c r="T64" s="173" t="str">
        <f t="array" ref="T64">IFERROR(INDEX($S$3:$S$65,MATCH(0,COUNTIF(T$2:$T63,$S$3:$S$65),0)),"")</f>
        <v/>
      </c>
      <c r="U64" s="346" t="str">
        <f t="shared" si="7"/>
        <v/>
      </c>
      <c r="V64" s="173" t="str">
        <f t="array" ref="V64">IFERROR(INDEX($U$3:$U$65,MATCH(0,COUNTIF(V$2:$V63,$U$3:$U$65),0)),"")</f>
        <v/>
      </c>
    </row>
    <row r="65" spans="1:22" ht="21.75" customHeight="1" thickTop="1" thickBot="1" x14ac:dyDescent="0.25">
      <c r="A65" s="183" t="s">
        <v>108</v>
      </c>
      <c r="B65" s="53">
        <f>'Begr.-Rechner int. Prod.'!B66</f>
        <v>0</v>
      </c>
      <c r="C65" s="54">
        <f>'Begr.-Rechner int. Prod.'!C66</f>
        <v>0</v>
      </c>
      <c r="D65" s="15">
        <f t="shared" si="0"/>
        <v>0</v>
      </c>
      <c r="E65" s="139">
        <f>'Begr.-Rechner int. Prod.'!E66</f>
        <v>0</v>
      </c>
      <c r="F65" s="58">
        <f t="shared" si="1"/>
        <v>0</v>
      </c>
      <c r="G65" s="59">
        <f t="shared" si="2"/>
        <v>0</v>
      </c>
      <c r="H65" s="60">
        <f t="shared" si="3"/>
        <v>0</v>
      </c>
      <c r="I65" s="181">
        <f>IF(AND('Begr.-Rechner int. Prod.'!I66="",Q65="ja"),"keine Angabe",'Begr.-Rechner int. Prod.'!I66)</f>
        <v>0</v>
      </c>
      <c r="M65" t="str">
        <f>IF('Begr.-Rechner int. Prod.'!$N66="","nein",IF('Begr.-Rechner int. Prod.'!$N66&lt;&gt;"","ja"))</f>
        <v>nein</v>
      </c>
      <c r="N65" s="163" t="str">
        <f>IF(AND(Q65="ja",'Begr.-Rechner int. Prod.'!I66&lt;&gt;""),'Begr.-Rechner int. Prod.'!L66,"")</f>
        <v/>
      </c>
      <c r="O65" t="str">
        <f t="shared" si="4"/>
        <v/>
      </c>
      <c r="P65" t="str">
        <f t="array" ref="P65">IFERROR(INDEX($O$3:$O$65,MATCH(0,COUNTIF(P$2:$P64,$O$3:$O$65),0)),"")</f>
        <v/>
      </c>
      <c r="Q65" t="str">
        <f t="shared" si="8"/>
        <v>nein</v>
      </c>
      <c r="R65" s="163" t="str">
        <f>IF('Begr.-Rechner int. Prod.'!E66&lt;&gt;"",'Begr.-Rechner int. Prod.'!A66,"")</f>
        <v/>
      </c>
      <c r="S65" s="344" t="str">
        <f t="shared" si="6"/>
        <v/>
      </c>
      <c r="T65" s="173" t="str">
        <f t="array" ref="T65">IFERROR(INDEX($S$3:$S$65,MATCH(0,COUNTIF(T$2:$T64,$S$3:$S$65),0)),"")</f>
        <v/>
      </c>
      <c r="U65" s="346" t="str">
        <f t="shared" si="7"/>
        <v/>
      </c>
      <c r="V65" s="173" t="str">
        <f t="array" ref="V65">IFERROR(INDEX($U$3:$U$65,MATCH(0,COUNTIF(V$2:$V64,$U$3:$U$65),0)),"")</f>
        <v/>
      </c>
    </row>
    <row r="66" spans="1:22" ht="21.75" customHeight="1" thickTop="1" x14ac:dyDescent="0.25"/>
    <row r="67" spans="1:22" ht="21.75" customHeight="1" x14ac:dyDescent="0.25"/>
    <row r="68" spans="1:22" ht="21.75" customHeight="1" x14ac:dyDescent="0.25"/>
    <row r="69" spans="1:22" ht="21.75" customHeight="1" x14ac:dyDescent="0.25"/>
    <row r="70" spans="1:22" ht="21.75" customHeight="1" x14ac:dyDescent="0.25"/>
    <row r="71" spans="1:22" ht="21.75" customHeight="1" x14ac:dyDescent="0.25"/>
    <row r="72" spans="1:22" ht="21.75" customHeight="1" x14ac:dyDescent="0.25"/>
    <row r="73" spans="1:22" ht="21.75" customHeight="1" x14ac:dyDescent="0.25"/>
    <row r="74" spans="1:22" ht="14.25" x14ac:dyDescent="0.2">
      <c r="A74" s="33"/>
      <c r="B74" s="32"/>
      <c r="C74" s="32"/>
      <c r="D74" s="32"/>
      <c r="E74" s="32"/>
      <c r="F74" s="32"/>
      <c r="G74" s="32"/>
      <c r="H74" s="32"/>
    </row>
    <row r="75" spans="1:22" ht="14.25" x14ac:dyDescent="0.2">
      <c r="A75" s="42"/>
      <c r="B75" s="32"/>
      <c r="C75" s="32"/>
      <c r="D75" s="32"/>
      <c r="E75" s="32"/>
      <c r="F75" s="32"/>
      <c r="G75" s="32"/>
      <c r="H75" s="32"/>
    </row>
    <row r="76" spans="1:22" ht="14.25" x14ac:dyDescent="0.2">
      <c r="A76" s="34"/>
      <c r="B76" s="32"/>
      <c r="C76" s="32"/>
      <c r="D76" s="32"/>
      <c r="E76" s="32"/>
      <c r="F76" s="32"/>
      <c r="G76" s="32"/>
      <c r="H76" s="32"/>
    </row>
    <row r="77" spans="1:22" ht="14.25" x14ac:dyDescent="0.2">
      <c r="B77"/>
    </row>
    <row r="78" spans="1:22" ht="14.25" x14ac:dyDescent="0.2">
      <c r="B78"/>
    </row>
    <row r="79" spans="1:22" ht="14.25" x14ac:dyDescent="0.2">
      <c r="B79"/>
    </row>
    <row r="80" spans="1:22" ht="14.25" x14ac:dyDescent="0.2">
      <c r="B80"/>
    </row>
    <row r="81" spans="2:2" ht="14.25" x14ac:dyDescent="0.2">
      <c r="B81"/>
    </row>
    <row r="82" spans="2:2" ht="14.25" x14ac:dyDescent="0.2">
      <c r="B82"/>
    </row>
    <row r="83" spans="2:2" ht="14.25" x14ac:dyDescent="0.2">
      <c r="B83"/>
    </row>
    <row r="84" spans="2:2" ht="14.25" x14ac:dyDescent="0.2">
      <c r="B84"/>
    </row>
    <row r="85" spans="2:2" ht="14.25" x14ac:dyDescent="0.2">
      <c r="B85"/>
    </row>
    <row r="86" spans="2:2" ht="14.25" x14ac:dyDescent="0.2">
      <c r="B86"/>
    </row>
    <row r="87" spans="2:2" ht="14.25" x14ac:dyDescent="0.2">
      <c r="B87"/>
    </row>
    <row r="88" spans="2:2" ht="14.25" x14ac:dyDescent="0.2">
      <c r="B88"/>
    </row>
    <row r="89" spans="2:2" ht="14.25" x14ac:dyDescent="0.2">
      <c r="B89"/>
    </row>
    <row r="90" spans="2:2" ht="14.25" x14ac:dyDescent="0.2">
      <c r="B90"/>
    </row>
    <row r="91" spans="2:2" ht="14.25" x14ac:dyDescent="0.2">
      <c r="B91"/>
    </row>
    <row r="92" spans="2:2" ht="14.25" x14ac:dyDescent="0.2">
      <c r="B92"/>
    </row>
    <row r="93" spans="2:2" ht="14.25" x14ac:dyDescent="0.2">
      <c r="B93"/>
    </row>
    <row r="94" spans="2:2" ht="14.25" x14ac:dyDescent="0.2">
      <c r="B94"/>
    </row>
    <row r="95" spans="2:2" ht="14.25" x14ac:dyDescent="0.2">
      <c r="B95"/>
    </row>
    <row r="96" spans="2:2" ht="14.25" x14ac:dyDescent="0.2">
      <c r="B96"/>
    </row>
    <row r="97" spans="2:2" ht="14.25" x14ac:dyDescent="0.2">
      <c r="B97"/>
    </row>
    <row r="98" spans="2:2" ht="14.25" x14ac:dyDescent="0.2">
      <c r="B98"/>
    </row>
    <row r="99" spans="2:2" ht="14.25" x14ac:dyDescent="0.2">
      <c r="B99"/>
    </row>
    <row r="100" spans="2:2" ht="14.25" x14ac:dyDescent="0.2">
      <c r="B100"/>
    </row>
    <row r="101" spans="2:2" ht="14.25" x14ac:dyDescent="0.2">
      <c r="B101"/>
    </row>
    <row r="102" spans="2:2" ht="14.25" x14ac:dyDescent="0.2">
      <c r="B102"/>
    </row>
    <row r="103" spans="2:2" ht="14.25" x14ac:dyDescent="0.2">
      <c r="B103"/>
    </row>
    <row r="104" spans="2:2" ht="14.25" x14ac:dyDescent="0.2">
      <c r="B104"/>
    </row>
    <row r="105" spans="2:2" ht="14.25" x14ac:dyDescent="0.2">
      <c r="B105"/>
    </row>
    <row r="106" spans="2:2" ht="14.25" x14ac:dyDescent="0.2">
      <c r="B106"/>
    </row>
    <row r="107" spans="2:2" ht="14.25" x14ac:dyDescent="0.2">
      <c r="B107"/>
    </row>
    <row r="108" spans="2:2" ht="14.25" x14ac:dyDescent="0.2">
      <c r="B108"/>
    </row>
    <row r="109" spans="2:2" ht="14.25" x14ac:dyDescent="0.2">
      <c r="B109"/>
    </row>
    <row r="110" spans="2:2" ht="14.25" x14ac:dyDescent="0.2">
      <c r="B110"/>
    </row>
    <row r="111" spans="2:2" ht="14.25" x14ac:dyDescent="0.2">
      <c r="B111"/>
    </row>
    <row r="112" spans="2:2" ht="14.25" x14ac:dyDescent="0.2">
      <c r="B112"/>
    </row>
    <row r="113" spans="2:2" ht="14.25" x14ac:dyDescent="0.2">
      <c r="B113"/>
    </row>
    <row r="114" spans="2:2" ht="14.25" x14ac:dyDescent="0.2">
      <c r="B114"/>
    </row>
    <row r="115" spans="2:2" ht="14.25" x14ac:dyDescent="0.2">
      <c r="B115"/>
    </row>
    <row r="116" spans="2:2" ht="14.25" x14ac:dyDescent="0.2">
      <c r="B116"/>
    </row>
    <row r="117" spans="2:2" ht="14.25" x14ac:dyDescent="0.2">
      <c r="B117"/>
    </row>
    <row r="118" spans="2:2" ht="14.25" x14ac:dyDescent="0.2">
      <c r="B118"/>
    </row>
    <row r="119" spans="2:2" ht="14.25" x14ac:dyDescent="0.2">
      <c r="B119"/>
    </row>
    <row r="120" spans="2:2" ht="14.25" x14ac:dyDescent="0.2">
      <c r="B120"/>
    </row>
    <row r="121" spans="2:2" ht="14.25" x14ac:dyDescent="0.2">
      <c r="B121"/>
    </row>
    <row r="122" spans="2:2" ht="14.25" x14ac:dyDescent="0.2">
      <c r="B122"/>
    </row>
    <row r="123" spans="2:2" ht="14.25" x14ac:dyDescent="0.2">
      <c r="B123"/>
    </row>
    <row r="124" spans="2:2" ht="14.25" x14ac:dyDescent="0.2">
      <c r="B124"/>
    </row>
    <row r="125" spans="2:2" ht="14.25" x14ac:dyDescent="0.2">
      <c r="B125"/>
    </row>
    <row r="126" spans="2:2" ht="14.25" x14ac:dyDescent="0.2">
      <c r="B126"/>
    </row>
    <row r="127" spans="2:2" ht="14.25" x14ac:dyDescent="0.2">
      <c r="B127"/>
    </row>
    <row r="128" spans="2:2" ht="14.25" x14ac:dyDescent="0.2">
      <c r="B128"/>
    </row>
    <row r="129" spans="2:2" ht="14.25" x14ac:dyDescent="0.2">
      <c r="B129"/>
    </row>
    <row r="130" spans="2:2" ht="14.25" x14ac:dyDescent="0.2">
      <c r="B130"/>
    </row>
    <row r="131" spans="2:2" ht="14.25" x14ac:dyDescent="0.2">
      <c r="B131"/>
    </row>
    <row r="132" spans="2:2" ht="14.25" x14ac:dyDescent="0.2">
      <c r="B132"/>
    </row>
    <row r="133" spans="2:2" ht="14.25" x14ac:dyDescent="0.2">
      <c r="B133"/>
    </row>
    <row r="134" spans="2:2" ht="14.25" x14ac:dyDescent="0.2">
      <c r="B134"/>
    </row>
    <row r="135" spans="2:2" ht="14.25" x14ac:dyDescent="0.2">
      <c r="B135"/>
    </row>
    <row r="136" spans="2:2" ht="14.25" x14ac:dyDescent="0.2">
      <c r="B136"/>
    </row>
    <row r="137" spans="2:2" ht="14.25" x14ac:dyDescent="0.2">
      <c r="B137"/>
    </row>
    <row r="138" spans="2:2" ht="14.25" x14ac:dyDescent="0.2">
      <c r="B138"/>
    </row>
    <row r="139" spans="2:2" ht="14.25" x14ac:dyDescent="0.2">
      <c r="B139"/>
    </row>
    <row r="140" spans="2:2" ht="14.25" x14ac:dyDescent="0.2">
      <c r="B140"/>
    </row>
    <row r="141" spans="2:2" ht="14.25" x14ac:dyDescent="0.2">
      <c r="B141"/>
    </row>
    <row r="142" spans="2:2" ht="14.25" x14ac:dyDescent="0.2">
      <c r="B142"/>
    </row>
    <row r="143" spans="2:2" ht="14.25" x14ac:dyDescent="0.2">
      <c r="B143"/>
    </row>
    <row r="144" spans="2:2" ht="14.25" x14ac:dyDescent="0.2">
      <c r="B144"/>
    </row>
    <row r="145" spans="2:2" ht="14.25" x14ac:dyDescent="0.2">
      <c r="B145"/>
    </row>
    <row r="146" spans="2:2" ht="14.25" x14ac:dyDescent="0.2">
      <c r="B146"/>
    </row>
    <row r="147" spans="2:2" ht="14.25" x14ac:dyDescent="0.2">
      <c r="B147"/>
    </row>
    <row r="148" spans="2:2" ht="14.25" x14ac:dyDescent="0.2">
      <c r="B148"/>
    </row>
    <row r="149" spans="2:2" ht="14.25" x14ac:dyDescent="0.2">
      <c r="B149"/>
    </row>
    <row r="150" spans="2:2" ht="14.25" x14ac:dyDescent="0.2">
      <c r="B150"/>
    </row>
    <row r="151" spans="2:2" ht="14.25" x14ac:dyDescent="0.2">
      <c r="B151"/>
    </row>
    <row r="152" spans="2:2" ht="14.25" x14ac:dyDescent="0.2">
      <c r="B152"/>
    </row>
    <row r="153" spans="2:2" ht="14.25" x14ac:dyDescent="0.2">
      <c r="B153"/>
    </row>
    <row r="154" spans="2:2" ht="14.25" x14ac:dyDescent="0.2">
      <c r="B154"/>
    </row>
    <row r="155" spans="2:2" ht="14.25" x14ac:dyDescent="0.2">
      <c r="B155"/>
    </row>
    <row r="156" spans="2:2" ht="14.25" x14ac:dyDescent="0.2">
      <c r="B156"/>
    </row>
    <row r="157" spans="2:2" ht="14.25" x14ac:dyDescent="0.2">
      <c r="B157"/>
    </row>
    <row r="158" spans="2:2" ht="14.25" x14ac:dyDescent="0.2">
      <c r="B158"/>
    </row>
    <row r="159" spans="2:2" ht="14.25" x14ac:dyDescent="0.2">
      <c r="B159"/>
    </row>
    <row r="160" spans="2:2" ht="14.25" x14ac:dyDescent="0.2">
      <c r="B160"/>
    </row>
    <row r="161" spans="2:2" ht="14.25" x14ac:dyDescent="0.2">
      <c r="B161"/>
    </row>
    <row r="162" spans="2:2" ht="14.25" x14ac:dyDescent="0.2">
      <c r="B162"/>
    </row>
    <row r="163" spans="2:2" ht="14.25" x14ac:dyDescent="0.2">
      <c r="B163"/>
    </row>
    <row r="164" spans="2:2" ht="14.25" x14ac:dyDescent="0.2">
      <c r="B164"/>
    </row>
    <row r="165" spans="2:2" ht="14.25" x14ac:dyDescent="0.2">
      <c r="B165"/>
    </row>
    <row r="166" spans="2:2" ht="14.25" x14ac:dyDescent="0.2">
      <c r="B166"/>
    </row>
    <row r="167" spans="2:2" ht="14.25" x14ac:dyDescent="0.2">
      <c r="B167"/>
    </row>
    <row r="168" spans="2:2" ht="14.25" x14ac:dyDescent="0.2">
      <c r="B168"/>
    </row>
    <row r="169" spans="2:2" ht="14.25" x14ac:dyDescent="0.2">
      <c r="B169"/>
    </row>
    <row r="170" spans="2:2" ht="14.25" x14ac:dyDescent="0.2">
      <c r="B170"/>
    </row>
    <row r="171" spans="2:2" ht="14.25" x14ac:dyDescent="0.2">
      <c r="B171"/>
    </row>
    <row r="172" spans="2:2" ht="14.25" x14ac:dyDescent="0.2">
      <c r="B172"/>
    </row>
    <row r="173" spans="2:2" ht="14.25" x14ac:dyDescent="0.2">
      <c r="B173"/>
    </row>
    <row r="174" spans="2:2" ht="14.25" x14ac:dyDescent="0.2">
      <c r="B174"/>
    </row>
    <row r="175" spans="2:2" ht="14.25" x14ac:dyDescent="0.2">
      <c r="B175"/>
    </row>
    <row r="176" spans="2:2" ht="14.25" x14ac:dyDescent="0.2">
      <c r="B176"/>
    </row>
    <row r="177" spans="2:2" ht="14.25" x14ac:dyDescent="0.2">
      <c r="B177"/>
    </row>
    <row r="178" spans="2:2" ht="14.25" x14ac:dyDescent="0.2">
      <c r="B178"/>
    </row>
    <row r="179" spans="2:2" ht="14.25" x14ac:dyDescent="0.2">
      <c r="B179"/>
    </row>
    <row r="180" spans="2:2" ht="14.25" x14ac:dyDescent="0.2">
      <c r="B180"/>
    </row>
    <row r="181" spans="2:2" ht="14.25" x14ac:dyDescent="0.2">
      <c r="B181"/>
    </row>
    <row r="182" spans="2:2" ht="14.25" x14ac:dyDescent="0.2">
      <c r="B182"/>
    </row>
    <row r="183" spans="2:2" ht="14.25" x14ac:dyDescent="0.2">
      <c r="B183"/>
    </row>
    <row r="184" spans="2:2" ht="14.25" x14ac:dyDescent="0.2">
      <c r="B184"/>
    </row>
    <row r="185" spans="2:2" ht="14.25" x14ac:dyDescent="0.2">
      <c r="B185"/>
    </row>
    <row r="186" spans="2:2" ht="14.25" x14ac:dyDescent="0.2">
      <c r="B186"/>
    </row>
    <row r="187" spans="2:2" ht="14.25" x14ac:dyDescent="0.2">
      <c r="B187"/>
    </row>
    <row r="188" spans="2:2" ht="14.25" x14ac:dyDescent="0.2">
      <c r="B188"/>
    </row>
    <row r="189" spans="2:2" ht="14.25" x14ac:dyDescent="0.2">
      <c r="B189"/>
    </row>
    <row r="190" spans="2:2" ht="14.25" x14ac:dyDescent="0.2">
      <c r="B190"/>
    </row>
    <row r="191" spans="2:2" ht="14.25" x14ac:dyDescent="0.2">
      <c r="B191"/>
    </row>
    <row r="192" spans="2:2" ht="14.25" x14ac:dyDescent="0.2">
      <c r="B192"/>
    </row>
    <row r="193" spans="2:2" ht="14.25" x14ac:dyDescent="0.2">
      <c r="B193"/>
    </row>
    <row r="194" spans="2:2" ht="14.25" x14ac:dyDescent="0.2">
      <c r="B194"/>
    </row>
    <row r="195" spans="2:2" ht="14.25" x14ac:dyDescent="0.2">
      <c r="B195"/>
    </row>
    <row r="196" spans="2:2" ht="14.25" x14ac:dyDescent="0.2">
      <c r="B196"/>
    </row>
    <row r="197" spans="2:2" ht="14.25" x14ac:dyDescent="0.2">
      <c r="B197"/>
    </row>
    <row r="198" spans="2:2" ht="14.25" x14ac:dyDescent="0.2">
      <c r="B198"/>
    </row>
    <row r="199" spans="2:2" ht="14.25" x14ac:dyDescent="0.2">
      <c r="B199"/>
    </row>
    <row r="200" spans="2:2" ht="14.25" x14ac:dyDescent="0.2">
      <c r="B200"/>
    </row>
    <row r="201" spans="2:2" ht="14.25" x14ac:dyDescent="0.2">
      <c r="B201"/>
    </row>
    <row r="202" spans="2:2" ht="14.25" x14ac:dyDescent="0.2">
      <c r="B202"/>
    </row>
    <row r="203" spans="2:2" ht="14.25" x14ac:dyDescent="0.2">
      <c r="B203"/>
    </row>
    <row r="204" spans="2:2" ht="14.25" x14ac:dyDescent="0.2">
      <c r="B204"/>
    </row>
    <row r="205" spans="2:2" ht="14.25" x14ac:dyDescent="0.2">
      <c r="B205"/>
    </row>
    <row r="206" spans="2:2" ht="14.25" x14ac:dyDescent="0.2">
      <c r="B206"/>
    </row>
    <row r="207" spans="2:2" ht="14.25" x14ac:dyDescent="0.2">
      <c r="B207"/>
    </row>
    <row r="208" spans="2:2" ht="14.25" x14ac:dyDescent="0.2">
      <c r="B208"/>
    </row>
    <row r="209" spans="2:2" ht="14.25" x14ac:dyDescent="0.2">
      <c r="B209"/>
    </row>
    <row r="210" spans="2:2" ht="14.25" x14ac:dyDescent="0.2">
      <c r="B210"/>
    </row>
    <row r="211" spans="2:2" ht="14.25" x14ac:dyDescent="0.2">
      <c r="B211"/>
    </row>
    <row r="212" spans="2:2" ht="14.25" x14ac:dyDescent="0.2">
      <c r="B212"/>
    </row>
    <row r="213" spans="2:2" ht="14.25" x14ac:dyDescent="0.2">
      <c r="B213"/>
    </row>
    <row r="214" spans="2:2" ht="14.25" x14ac:dyDescent="0.2">
      <c r="B214"/>
    </row>
    <row r="215" spans="2:2" ht="14.25" x14ac:dyDescent="0.2">
      <c r="B215"/>
    </row>
    <row r="216" spans="2:2" ht="14.25" x14ac:dyDescent="0.2">
      <c r="B216"/>
    </row>
    <row r="217" spans="2:2" ht="14.25" x14ac:dyDescent="0.2">
      <c r="B217"/>
    </row>
    <row r="218" spans="2:2" ht="14.25" x14ac:dyDescent="0.2">
      <c r="B218"/>
    </row>
    <row r="219" spans="2:2" ht="14.25" x14ac:dyDescent="0.2">
      <c r="B219"/>
    </row>
    <row r="220" spans="2:2" ht="14.25" x14ac:dyDescent="0.2">
      <c r="B220"/>
    </row>
    <row r="221" spans="2:2" ht="14.25" x14ac:dyDescent="0.2">
      <c r="B221"/>
    </row>
    <row r="222" spans="2:2" ht="14.25" x14ac:dyDescent="0.2">
      <c r="B222"/>
    </row>
    <row r="223" spans="2:2" ht="14.25" x14ac:dyDescent="0.2">
      <c r="B223"/>
    </row>
    <row r="224" spans="2:2" ht="14.25" x14ac:dyDescent="0.2">
      <c r="B224"/>
    </row>
    <row r="225" spans="2:2" ht="14.25" x14ac:dyDescent="0.2">
      <c r="B225"/>
    </row>
    <row r="226" spans="2:2" ht="14.25" x14ac:dyDescent="0.2">
      <c r="B226"/>
    </row>
    <row r="227" spans="2:2" ht="14.25" x14ac:dyDescent="0.2">
      <c r="B227"/>
    </row>
    <row r="228" spans="2:2" ht="14.25" x14ac:dyDescent="0.2">
      <c r="B228"/>
    </row>
    <row r="229" spans="2:2" ht="14.25" x14ac:dyDescent="0.2">
      <c r="B229"/>
    </row>
    <row r="230" spans="2:2" ht="14.25" x14ac:dyDescent="0.2">
      <c r="B230"/>
    </row>
    <row r="231" spans="2:2" ht="14.25" x14ac:dyDescent="0.2">
      <c r="B231"/>
    </row>
    <row r="232" spans="2:2" ht="14.25" x14ac:dyDescent="0.2">
      <c r="B232"/>
    </row>
    <row r="233" spans="2:2" ht="14.25" x14ac:dyDescent="0.2">
      <c r="B233"/>
    </row>
    <row r="234" spans="2:2" ht="14.25" x14ac:dyDescent="0.2">
      <c r="B234"/>
    </row>
    <row r="235" spans="2:2" ht="14.25" x14ac:dyDescent="0.2">
      <c r="B235"/>
    </row>
    <row r="236" spans="2:2" ht="14.25" x14ac:dyDescent="0.2">
      <c r="B236"/>
    </row>
    <row r="237" spans="2:2" ht="14.25" x14ac:dyDescent="0.2">
      <c r="B237"/>
    </row>
    <row r="238" spans="2:2" ht="14.25" x14ac:dyDescent="0.2">
      <c r="B238"/>
    </row>
    <row r="239" spans="2:2" ht="14.25" x14ac:dyDescent="0.2">
      <c r="B239"/>
    </row>
    <row r="240" spans="2:2" ht="14.25" x14ac:dyDescent="0.2">
      <c r="B240"/>
    </row>
    <row r="241" spans="2:2" ht="14.25" x14ac:dyDescent="0.2">
      <c r="B241"/>
    </row>
    <row r="242" spans="2:2" ht="14.25" x14ac:dyDescent="0.2">
      <c r="B242"/>
    </row>
    <row r="243" spans="2:2" ht="14.25" x14ac:dyDescent="0.2">
      <c r="B243"/>
    </row>
    <row r="244" spans="2:2" ht="14.25" x14ac:dyDescent="0.2">
      <c r="B244"/>
    </row>
    <row r="245" spans="2:2" ht="14.25" x14ac:dyDescent="0.2">
      <c r="B245"/>
    </row>
    <row r="246" spans="2:2" ht="14.25" x14ac:dyDescent="0.2">
      <c r="B246"/>
    </row>
    <row r="247" spans="2:2" ht="14.25" x14ac:dyDescent="0.2">
      <c r="B247"/>
    </row>
    <row r="248" spans="2:2" ht="14.25" x14ac:dyDescent="0.2">
      <c r="B248"/>
    </row>
    <row r="249" spans="2:2" ht="14.25" x14ac:dyDescent="0.2">
      <c r="B249"/>
    </row>
    <row r="250" spans="2:2" ht="14.25" x14ac:dyDescent="0.2">
      <c r="B250"/>
    </row>
    <row r="251" spans="2:2" ht="14.25" x14ac:dyDescent="0.2">
      <c r="B251"/>
    </row>
    <row r="252" spans="2:2" ht="14.25" x14ac:dyDescent="0.2">
      <c r="B252"/>
    </row>
    <row r="253" spans="2:2" ht="14.25" x14ac:dyDescent="0.2">
      <c r="B253"/>
    </row>
    <row r="254" spans="2:2" ht="14.25" x14ac:dyDescent="0.2">
      <c r="B254"/>
    </row>
    <row r="255" spans="2:2" ht="14.25" x14ac:dyDescent="0.2">
      <c r="B255"/>
    </row>
    <row r="256" spans="2:2" ht="14.25" x14ac:dyDescent="0.2">
      <c r="B256"/>
    </row>
    <row r="257" spans="2:2" ht="14.25" x14ac:dyDescent="0.2">
      <c r="B257"/>
    </row>
    <row r="258" spans="2:2" ht="14.25" x14ac:dyDescent="0.2">
      <c r="B258"/>
    </row>
    <row r="259" spans="2:2" ht="14.25" x14ac:dyDescent="0.2">
      <c r="B259"/>
    </row>
    <row r="260" spans="2:2" ht="14.25" x14ac:dyDescent="0.2">
      <c r="B260"/>
    </row>
    <row r="261" spans="2:2" ht="14.25" x14ac:dyDescent="0.2">
      <c r="B261"/>
    </row>
    <row r="262" spans="2:2" ht="14.25" x14ac:dyDescent="0.2">
      <c r="B262"/>
    </row>
    <row r="263" spans="2:2" ht="14.25" x14ac:dyDescent="0.2">
      <c r="B263"/>
    </row>
    <row r="264" spans="2:2" ht="14.25" x14ac:dyDescent="0.2">
      <c r="B264"/>
    </row>
    <row r="265" spans="2:2" ht="14.25" x14ac:dyDescent="0.2">
      <c r="B265"/>
    </row>
    <row r="266" spans="2:2" ht="14.25" x14ac:dyDescent="0.2">
      <c r="B266"/>
    </row>
    <row r="267" spans="2:2" ht="14.25" x14ac:dyDescent="0.2">
      <c r="B267"/>
    </row>
    <row r="268" spans="2:2" ht="14.25" x14ac:dyDescent="0.2">
      <c r="B268"/>
    </row>
    <row r="269" spans="2:2" ht="14.25" x14ac:dyDescent="0.2">
      <c r="B269"/>
    </row>
    <row r="270" spans="2:2" ht="14.25" x14ac:dyDescent="0.2">
      <c r="B270"/>
    </row>
    <row r="271" spans="2:2" ht="14.25" x14ac:dyDescent="0.2">
      <c r="B271"/>
    </row>
    <row r="272" spans="2:2" ht="14.25" x14ac:dyDescent="0.2">
      <c r="B272"/>
    </row>
    <row r="273" spans="2:2" ht="14.25" x14ac:dyDescent="0.2">
      <c r="B273"/>
    </row>
    <row r="274" spans="2:2" ht="14.25" x14ac:dyDescent="0.2">
      <c r="B274"/>
    </row>
    <row r="275" spans="2:2" ht="14.25" x14ac:dyDescent="0.2">
      <c r="B275"/>
    </row>
  </sheetData>
  <sheetProtection algorithmName="SHA-512" hashValue="trJlboTYIz31+zVn8vVWp2RNcllFSrbkDKgWUXaqHiNE+YhcHdrcv2o06+TEGBRm2X+wURf/4cDybchfrIYRXA==" saltValue="mKPv5MyI0R353JlWCe/d7g==" spinCount="100000" sheet="1" objects="1" scenarios="1"/>
  <mergeCells count="5">
    <mergeCell ref="E1:H1"/>
    <mergeCell ref="AB1:AC1"/>
    <mergeCell ref="K3:L3"/>
    <mergeCell ref="K4:L4"/>
    <mergeCell ref="W8:Y8"/>
  </mergeCells>
  <conditionalFormatting sqref="I1:I2">
    <cfRule type="expression" dxfId="37" priority="1">
      <formula>$I$2=""</formula>
    </cfRule>
  </conditionalFormatting>
  <pageMargins left="0.7" right="0.7" top="0.78740157499999996" bottom="0.78740157499999996" header="0.3" footer="0.3"/>
  <pageSetup paperSize="9" scale="48" fitToHeight="3"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993E0-73D9-4C73-B3CA-E04E48B892EE}">
  <sheetPr>
    <tabColor theme="4" tint="0.39997558519241921"/>
    <pageSetUpPr fitToPage="1"/>
  </sheetPr>
  <dimension ref="A1:AG49"/>
  <sheetViews>
    <sheetView showZeros="0" zoomScale="85" zoomScaleNormal="85" workbookViewId="0">
      <selection activeCell="A3" sqref="A3"/>
    </sheetView>
  </sheetViews>
  <sheetFormatPr baseColWidth="10" defaultRowHeight="14.25" x14ac:dyDescent="0.2"/>
  <cols>
    <col min="1" max="1" width="47.625" customWidth="1"/>
    <col min="2" max="2" width="24.125" customWidth="1"/>
    <col min="3" max="3" width="22.125" customWidth="1"/>
    <col min="4" max="4" width="23.25" customWidth="1"/>
    <col min="5" max="5" width="24.5" customWidth="1"/>
    <col min="6" max="6" width="28.625" customWidth="1"/>
    <col min="7" max="7" width="16.5" customWidth="1"/>
    <col min="8" max="8" width="25" customWidth="1"/>
    <col min="9" max="9" width="13.25" customWidth="1"/>
    <col min="10" max="10" width="19.75" bestFit="1" customWidth="1"/>
    <col min="13" max="13" width="11" customWidth="1"/>
    <col min="14" max="15" width="11" hidden="1" customWidth="1"/>
    <col min="16" max="16" width="71.875" hidden="1" customWidth="1"/>
    <col min="17" max="17" width="25" hidden="1" customWidth="1"/>
    <col min="18" max="18" width="35.125" hidden="1" customWidth="1"/>
    <col min="19" max="19" width="57.25" hidden="1" customWidth="1"/>
    <col min="20" max="21" width="34.875" hidden="1" customWidth="1"/>
    <col min="22" max="22" width="46.75" hidden="1" customWidth="1"/>
    <col min="23" max="23" width="11" hidden="1" customWidth="1"/>
    <col min="24" max="24" width="42.25" hidden="1" customWidth="1"/>
    <col min="25" max="30" width="19.25" hidden="1" customWidth="1"/>
    <col min="31" max="31" width="52.75" hidden="1" customWidth="1"/>
    <col min="32" max="32" width="17.75" hidden="1" customWidth="1"/>
    <col min="33" max="33" width="13.125" hidden="1" customWidth="1"/>
  </cols>
  <sheetData>
    <row r="1" spans="1:33" ht="39" customHeight="1" thickBot="1" x14ac:dyDescent="0.25">
      <c r="A1" s="561" t="s">
        <v>616</v>
      </c>
      <c r="B1" s="562"/>
      <c r="C1" s="562"/>
      <c r="D1" s="562"/>
      <c r="E1" s="562"/>
      <c r="F1" s="562"/>
      <c r="G1" s="562"/>
      <c r="H1" s="563"/>
    </row>
    <row r="2" spans="1:33" ht="41.25" customHeight="1" thickBot="1" x14ac:dyDescent="0.25">
      <c r="A2" s="284" t="s">
        <v>574</v>
      </c>
      <c r="B2" s="327" t="s">
        <v>639</v>
      </c>
      <c r="C2" s="564" t="str">
        <f>CONCATENATE("Aussaatstärke: ",ROUND(SUM(C6,D10,D11,D12,D13,D14,D15,D16,D17,D18),2)," kg/ha")</f>
        <v>Aussaatstärke: 0 kg/ha</v>
      </c>
      <c r="D2" s="565"/>
      <c r="E2" s="570" t="s">
        <v>617</v>
      </c>
      <c r="F2" s="571"/>
      <c r="G2" s="285" t="s">
        <v>583</v>
      </c>
      <c r="H2" s="286" t="s">
        <v>582</v>
      </c>
      <c r="V2" t="s">
        <v>612</v>
      </c>
    </row>
    <row r="3" spans="1:33" ht="36.75" customHeight="1" thickBot="1" x14ac:dyDescent="0.25">
      <c r="A3" s="277"/>
      <c r="B3" s="283"/>
      <c r="C3" s="566" t="str">
        <f>CONCATENATE("Saatgutmenge gesamt: ",ROUND(SUM(B6,B10,B11,B12,B13,B14,B15,B16,B17,B18),2)," kg")</f>
        <v>Saatgutmenge gesamt: 0 kg</v>
      </c>
      <c r="D3" s="567"/>
      <c r="E3" s="568">
        <f>IFERROR(ROUND(SUM(E6,E10,E11,E12,E13,E14,E15,E16,E17,E18),2),"")</f>
        <v>0</v>
      </c>
      <c r="F3" s="569"/>
      <c r="G3" s="287">
        <f>IFERROR(ROUND(SUM(H6,H10,H11,H12,H13,H14,H15,H16,H17,H18),2),"")</f>
        <v>0</v>
      </c>
      <c r="H3" s="288">
        <f>IFERROR(ROUND(SUM(G6,G10,G11,G12,G13,G14,G15,G16,G17,G18),2),"")</f>
        <v>0</v>
      </c>
      <c r="N3" t="s">
        <v>581</v>
      </c>
      <c r="P3" t="s">
        <v>611</v>
      </c>
      <c r="Q3" t="s">
        <v>579</v>
      </c>
      <c r="R3" t="s">
        <v>549</v>
      </c>
      <c r="S3" t="s">
        <v>580</v>
      </c>
      <c r="T3" t="s">
        <v>581</v>
      </c>
      <c r="U3" t="s">
        <v>607</v>
      </c>
      <c r="X3" s="151" t="s">
        <v>609</v>
      </c>
      <c r="Y3" s="144" t="s">
        <v>606</v>
      </c>
      <c r="Z3" s="144" t="s">
        <v>742</v>
      </c>
      <c r="AA3" s="153" t="s">
        <v>743</v>
      </c>
      <c r="AB3" s="144" t="s">
        <v>615</v>
      </c>
      <c r="AC3" s="144" t="s">
        <v>757</v>
      </c>
      <c r="AD3" s="153" t="s">
        <v>744</v>
      </c>
      <c r="AE3" s="144" t="s">
        <v>610</v>
      </c>
      <c r="AF3" s="144" t="s">
        <v>613</v>
      </c>
      <c r="AG3" s="144" t="s">
        <v>614</v>
      </c>
    </row>
    <row r="4" spans="1:33" ht="15" thickBot="1" x14ac:dyDescent="0.25">
      <c r="N4" t="s">
        <v>579</v>
      </c>
      <c r="P4" t="s">
        <v>403</v>
      </c>
      <c r="Q4" t="s">
        <v>488</v>
      </c>
      <c r="R4" t="s">
        <v>349</v>
      </c>
      <c r="S4" t="s">
        <v>390</v>
      </c>
      <c r="T4" t="s">
        <v>445</v>
      </c>
      <c r="U4" t="s">
        <v>730</v>
      </c>
      <c r="V4" t="str">
        <f>IF($B$3="Agrana",T4,IF($B$3="DSV",Q4,IF($B$3="HESA",S4,IF($B$3="RWA (Die Saat)",P4,IF($B$3="Saatbau Linz",R4,IF($B$3="BWSB-Mischungen",U4,""))))))</f>
        <v/>
      </c>
      <c r="X4" s="278" t="e">
        <f>IF(VLOOKUP($A$6,'Komp.Misch.'!$A$79:$V$163,2,0)=0,"",VLOOKUP($A$6,'Komp.Misch.'!$A$79:$V$163,2,0))</f>
        <v>#N/A</v>
      </c>
      <c r="Y4" t="e">
        <f>IF(X4="","",VLOOKUP(X4,'Komp.Misch.'!$A$2:$C$75,3,0))</f>
        <v>#N/A</v>
      </c>
      <c r="Z4" t="str">
        <f>IF(ISNA(VLOOKUP(X4,'Komp.Misch.'!$A$2:$D$75,4,0)),"",VLOOKUP(X4,'Komp.Misch.'!$A$2:$D$75,4,0))</f>
        <v/>
      </c>
      <c r="AA4" t="str">
        <f t="array" ref="AA4">IFERROR(INDEX($Z$4:$Z$24,MATCH(0,COUNTIF(AA$3:$AA3,$Z$4:$Z$24),0)),"")</f>
        <v/>
      </c>
      <c r="AB4">
        <f t="array" ref="AB4">SUMPRODUCT(($AA$4:$AA$24&lt;&gt;"")*(LEN($AA$4:$AA$24)&gt;0))</f>
        <v>0</v>
      </c>
      <c r="AC4" t="str">
        <f t="array" ref="AC4">IFERROR(INDEX($Y$4:$Y$24,MATCH(0,COUNTIF(AC$3:$AC3,$Y$4:$Y$24),0)),"")</f>
        <v/>
      </c>
      <c r="AD4" cm="1">
        <f t="array" ref="AD4">SUMPRODUCT(($AC$4:$AC$24&lt;&gt;"")*(LEN($AC$4:$AC$24)&gt;0))</f>
        <v>0</v>
      </c>
      <c r="AE4" t="e">
        <f>IF(X4="","",CONCATENATE(X4," (",Y4,") "))</f>
        <v>#N/A</v>
      </c>
      <c r="AF4" s="210">
        <f>AB4</f>
        <v>0</v>
      </c>
      <c r="AG4">
        <f>$AD$4</f>
        <v>0</v>
      </c>
    </row>
    <row r="5" spans="1:33" ht="45.75" thickBot="1" x14ac:dyDescent="0.25">
      <c r="A5" s="275" t="s">
        <v>608</v>
      </c>
      <c r="B5" s="276" t="s">
        <v>585</v>
      </c>
      <c r="C5" s="274" t="s">
        <v>591</v>
      </c>
      <c r="D5" s="276" t="s">
        <v>589</v>
      </c>
      <c r="E5" s="276" t="s">
        <v>626</v>
      </c>
      <c r="F5" s="276" t="s">
        <v>1051</v>
      </c>
      <c r="G5" s="276" t="s">
        <v>587</v>
      </c>
      <c r="H5" s="276" t="s">
        <v>588</v>
      </c>
      <c r="N5" t="s">
        <v>580</v>
      </c>
      <c r="P5" t="s">
        <v>575</v>
      </c>
      <c r="Q5" t="s">
        <v>447</v>
      </c>
      <c r="R5" t="s">
        <v>418</v>
      </c>
      <c r="S5" t="s">
        <v>340</v>
      </c>
      <c r="T5" t="s">
        <v>684</v>
      </c>
      <c r="U5" t="s">
        <v>729</v>
      </c>
      <c r="V5" t="str">
        <f t="shared" ref="V5:V49" si="0">IF($B$3="Agrana",T5,IF($B$3="DSV",Q5,IF($B$3="HESA",S5,IF($B$3="RWA (Die Saat)",P5,IF($B$3="Saatbau Linz",R5,IF($B$3="BWSB-Mischungen",U5,""))))))</f>
        <v/>
      </c>
      <c r="X5" s="278" t="e">
        <f>IF(VLOOKUP($A$6,'Komp.Misch.'!$A$79:$V$163,3,0)=0,"",VLOOKUP($A$6,'Komp.Misch.'!$A$79:$V$163,3,0))</f>
        <v>#N/A</v>
      </c>
      <c r="Y5" t="e">
        <f>IF(X5="","",VLOOKUP(X5,'Komp.Misch.'!$A$2:$C$75,3,0))</f>
        <v>#N/A</v>
      </c>
      <c r="Z5" t="str">
        <f>IF(ISNA(VLOOKUP(X5,'Komp.Misch.'!$A$2:$D$75,4,0)),"",VLOOKUP(X5,'Komp.Misch.'!$A$2:$D$75,4,0))</f>
        <v/>
      </c>
      <c r="AA5" t="str">
        <f t="array" ref="AA5">IFERROR(INDEX($Z$4:$Z$24,MATCH(0,COUNTIF(AA$3:$AA4,$Z$4:$Z$24),0)),"")</f>
        <v/>
      </c>
      <c r="AC5" t="str">
        <f t="array" ref="AC5">IFERROR(INDEX($Y$4:$Y$24,MATCH(0,COUNTIF(AC$3:$AC4,$Y$4:$Y$24),0)),"")</f>
        <v/>
      </c>
      <c r="AE5" t="e">
        <f>IF(X5="","",CONCATENATE(", ",X5," (",Y5,") "))</f>
        <v>#N/A</v>
      </c>
    </row>
    <row r="6" spans="1:33" ht="50.1" customHeight="1" thickBot="1" x14ac:dyDescent="0.25">
      <c r="A6" s="282"/>
      <c r="B6" s="279"/>
      <c r="C6" s="290">
        <f>IFERROR(IF(A3="",ROUND(B6/1,2),ROUND(B6/A3,2)),"")</f>
        <v>0</v>
      </c>
      <c r="D6" s="290" t="str">
        <f>IFERROR(VLOOKUP(A6,Komp.Kosten!$A$91:$C$194,2,0),"")</f>
        <v/>
      </c>
      <c r="E6" s="326" t="str">
        <f>IFERROR(C6/D6,"")</f>
        <v/>
      </c>
      <c r="F6" s="289" t="str">
        <f>IFERROR(VLOOKUP(A6,Komp.Kosten!$A$91:$C$194,3,0),"")</f>
        <v/>
      </c>
      <c r="G6" s="289" t="str">
        <f>IFERROR(IF(F6="k.A","k.A",F6*B6),"")</f>
        <v/>
      </c>
      <c r="H6" s="289" t="str">
        <f>IFERROR(IF(F6="k.A","k.A",C6*F6),"")</f>
        <v/>
      </c>
      <c r="N6" t="s">
        <v>611</v>
      </c>
      <c r="P6" t="s">
        <v>456</v>
      </c>
      <c r="Q6" t="s">
        <v>451</v>
      </c>
      <c r="R6" t="s">
        <v>54</v>
      </c>
      <c r="S6" t="s">
        <v>341</v>
      </c>
      <c r="T6" t="s">
        <v>446</v>
      </c>
      <c r="U6" t="s">
        <v>728</v>
      </c>
      <c r="V6" t="str">
        <f t="shared" si="0"/>
        <v/>
      </c>
      <c r="X6" s="278" t="e">
        <f>IF(VLOOKUP($A$6,'Komp.Misch.'!$A$79:$V$163,4,0)=0,"",VLOOKUP($A$6,'Komp.Misch.'!$A$79:$V$163,4,0))</f>
        <v>#N/A</v>
      </c>
      <c r="Y6" t="e">
        <f>IF(X6="","",VLOOKUP(X6,'Komp.Misch.'!$A$2:$C$75,3,0))</f>
        <v>#N/A</v>
      </c>
      <c r="Z6" t="str">
        <f>IF(ISNA(VLOOKUP(X6,'Komp.Misch.'!$A$2:$D$75,4,0)),"",VLOOKUP(X6,'Komp.Misch.'!$A$2:$D$75,4,0))</f>
        <v/>
      </c>
      <c r="AA6" t="str">
        <f t="array" ref="AA6">IFERROR(INDEX($Z$4:$Z$24,MATCH(0,COUNTIF(AA$3:$AA5,$Z$4:$Z$24),0)),"")</f>
        <v/>
      </c>
      <c r="AC6" t="str">
        <f t="array" ref="AC6">IFERROR(INDEX($Y$4:$Y$24,MATCH(0,COUNTIF(AC$3:$AC5,$Y$4:$Y$24),0)),"")</f>
        <v/>
      </c>
      <c r="AE6" t="e">
        <f t="shared" ref="AE6:AE24" si="1">IF(X6="","",CONCATENATE(", ",X6," (",Y6,") "))</f>
        <v>#N/A</v>
      </c>
    </row>
    <row r="7" spans="1:33" ht="24.95" customHeight="1" thickBot="1" x14ac:dyDescent="0.25">
      <c r="A7" s="555" t="str">
        <f>IFERROR(CONCATENATE("enthaltene Komponenten: ",AF4," Mischungspartner aus ",AG4," Pflanzenfamilien"),"")</f>
        <v>enthaltene Komponenten: 0 Mischungspartner aus 0 Pflanzenfamilien</v>
      </c>
      <c r="B7" s="556"/>
      <c r="C7" s="556"/>
      <c r="D7" s="556"/>
      <c r="E7" s="556"/>
      <c r="F7" s="556"/>
      <c r="G7" s="556"/>
      <c r="H7" s="557"/>
      <c r="N7" t="s">
        <v>549</v>
      </c>
      <c r="P7" t="s">
        <v>405</v>
      </c>
      <c r="Q7" t="s">
        <v>691</v>
      </c>
      <c r="R7" t="s">
        <v>351</v>
      </c>
      <c r="S7" t="s">
        <v>703</v>
      </c>
      <c r="V7" t="str">
        <f t="shared" si="0"/>
        <v/>
      </c>
      <c r="X7" s="278" t="e">
        <f>IF(VLOOKUP($A$6,'Komp.Misch.'!$A$79:$V$163,5,0)=0,"",VLOOKUP($A$6,'Komp.Misch.'!$A$79:$V$163,5,0))</f>
        <v>#N/A</v>
      </c>
      <c r="Y7" t="e">
        <f>IF(X7="","",VLOOKUP(X7,'Komp.Misch.'!$A$2:$C$75,3,0))</f>
        <v>#N/A</v>
      </c>
      <c r="Z7" t="str">
        <f>IF(ISNA(VLOOKUP(X7,'Komp.Misch.'!$A$2:$D$75,4,0)),"",VLOOKUP(X7,'Komp.Misch.'!$A$2:$D$75,4,0))</f>
        <v/>
      </c>
      <c r="AA7" t="str">
        <f t="array" ref="AA7">IFERROR(INDEX($Z$4:$Z$24,MATCH(0,COUNTIF(AA$3:$AA6,$Z$4:$Z$24),0)),"")</f>
        <v/>
      </c>
      <c r="AC7" t="str">
        <f t="array" ref="AC7">IFERROR(INDEX($Y$4:$Y$24,MATCH(0,COUNTIF(AC$3:$AC6,$Y$4:$Y$24),0)),"")</f>
        <v/>
      </c>
      <c r="AE7" t="e">
        <f t="shared" si="1"/>
        <v>#N/A</v>
      </c>
    </row>
    <row r="8" spans="1:33" ht="46.5" customHeight="1" thickBot="1" x14ac:dyDescent="0.25">
      <c r="A8" s="558" t="str">
        <f>IFERROR(CONCATENATE(AE4,AE5,AE6,AE7,AE8,AE9,AE10,AE11,AE12,AE13,AE14,AE15,AE16,AE17,AE18,AE19,AE20,AE21,AE22,AE23,AE24),"")</f>
        <v/>
      </c>
      <c r="B8" s="559"/>
      <c r="C8" s="559"/>
      <c r="D8" s="559"/>
      <c r="E8" s="559"/>
      <c r="F8" s="559"/>
      <c r="G8" s="559"/>
      <c r="H8" s="560"/>
      <c r="N8" t="s">
        <v>607</v>
      </c>
      <c r="P8" t="s">
        <v>503</v>
      </c>
      <c r="Q8" t="s">
        <v>337</v>
      </c>
      <c r="R8" t="s">
        <v>55</v>
      </c>
      <c r="S8" t="s">
        <v>704</v>
      </c>
      <c r="V8" t="str">
        <f t="shared" si="0"/>
        <v/>
      </c>
      <c r="X8" s="278" t="e">
        <f>IF(VLOOKUP($A$6,'Komp.Misch.'!$A$79:$V$163,6,0)=0,"",VLOOKUP($A$6,'Komp.Misch.'!$A$79:$V$163,6,0))</f>
        <v>#N/A</v>
      </c>
      <c r="Y8" t="e">
        <f>IF(X8="","",VLOOKUP(X8,'Komp.Misch.'!$A$2:$C$75,3,0))</f>
        <v>#N/A</v>
      </c>
      <c r="Z8" t="str">
        <f>IF(ISNA(VLOOKUP(X8,'Komp.Misch.'!$A$2:$D$75,4,0)),"",VLOOKUP(X8,'Komp.Misch.'!$A$2:$D$75,4,0))</f>
        <v/>
      </c>
      <c r="AA8" t="str">
        <f t="array" ref="AA8">IFERROR(INDEX($Z$4:$Z$24,MATCH(0,COUNTIF(AA$3:$AA7,$Z$4:$Z$24),0)),"")</f>
        <v/>
      </c>
      <c r="AC8" t="str">
        <f t="array" ref="AC8">IFERROR(INDEX($Y$4:$Y$24,MATCH(0,COUNTIF(AC$3:$AC7,$Y$4:$Y$24),0)),"")</f>
        <v/>
      </c>
      <c r="AE8" t="e">
        <f t="shared" si="1"/>
        <v>#N/A</v>
      </c>
    </row>
    <row r="9" spans="1:33" ht="48.75" customHeight="1" thickBot="1" x14ac:dyDescent="0.25">
      <c r="A9" s="275" t="s">
        <v>640</v>
      </c>
      <c r="B9" s="276" t="s">
        <v>586</v>
      </c>
      <c r="C9" s="280" t="s">
        <v>619</v>
      </c>
      <c r="D9" s="281" t="s">
        <v>618</v>
      </c>
      <c r="E9" s="276" t="s">
        <v>623</v>
      </c>
      <c r="F9" s="276" t="s">
        <v>622</v>
      </c>
      <c r="G9" s="276" t="s">
        <v>621</v>
      </c>
      <c r="H9" s="276" t="s">
        <v>620</v>
      </c>
      <c r="P9" t="s">
        <v>44</v>
      </c>
      <c r="Q9" t="s">
        <v>448</v>
      </c>
      <c r="R9" t="s">
        <v>712</v>
      </c>
      <c r="S9" t="s">
        <v>705</v>
      </c>
      <c r="V9" t="str">
        <f t="shared" si="0"/>
        <v/>
      </c>
      <c r="X9" s="278" t="e">
        <f>IF(VLOOKUP($A$6,'Komp.Misch.'!$A$79:$V$163,7,0)=0,"",VLOOKUP($A$6,'Komp.Misch.'!$A$79:$V$163,7,0))</f>
        <v>#N/A</v>
      </c>
      <c r="Y9" t="e">
        <f>IF(X9="","",VLOOKUP(X9,'Komp.Misch.'!$A$2:$C$75,3,0))</f>
        <v>#N/A</v>
      </c>
      <c r="Z9" t="str">
        <f>IF(ISNA(VLOOKUP(X9,'Komp.Misch.'!$A$2:$D$75,4,0)),"",VLOOKUP(X9,'Komp.Misch.'!$A$2:$D$75,4,0))</f>
        <v/>
      </c>
      <c r="AA9" t="str">
        <f t="array" ref="AA9">IFERROR(INDEX($Z$4:$Z$24,MATCH(0,COUNTIF(AA$3:$AA8,$Z$4:$Z$24),0)),"")</f>
        <v/>
      </c>
      <c r="AC9" t="str">
        <f t="array" ref="AC9">IFERROR(INDEX($Y$4:$Y$24,MATCH(0,COUNTIF(AC$3:$AC8,$Y$4:$Y$24),0)),"")</f>
        <v/>
      </c>
      <c r="AE9" t="e">
        <f t="shared" si="1"/>
        <v>#N/A</v>
      </c>
    </row>
    <row r="10" spans="1:33" ht="24.95" customHeight="1" thickBot="1" x14ac:dyDescent="0.25">
      <c r="A10" s="291"/>
      <c r="B10" s="292"/>
      <c r="C10" s="293" t="str">
        <f>IF(A10="","",VLOOKUP(A10,'Komp.Misch.'!$A$2:$B$56,2,0))</f>
        <v/>
      </c>
      <c r="D10" s="294">
        <f>IFERROR(IF($A$3="",B10,B10/$A$3),"")</f>
        <v>0</v>
      </c>
      <c r="E10" s="295" t="str">
        <f>IFERROR(IF($A$3="",B10/C10,B10/$A$3/C10),"")</f>
        <v/>
      </c>
      <c r="F10" s="320"/>
      <c r="G10" s="296" t="str">
        <f>IF(OR(F10=0,F10=""),"",B10*F10)</f>
        <v/>
      </c>
      <c r="H10" s="296" t="str">
        <f>IF(AND(F10&gt;0,OR($A$3="",$A$3=0)),ROUND(F10*B10,2),IF(AND($A$3&gt;0,F10&gt;0),G10/$A$3,""))</f>
        <v/>
      </c>
      <c r="P10" t="s">
        <v>45</v>
      </c>
      <c r="Q10" t="s">
        <v>692</v>
      </c>
      <c r="R10" t="s">
        <v>713</v>
      </c>
      <c r="S10" t="s">
        <v>706</v>
      </c>
      <c r="V10" t="str">
        <f t="shared" si="0"/>
        <v/>
      </c>
      <c r="X10" s="278" t="e">
        <f>IF(VLOOKUP($A$6,'Komp.Misch.'!$A$79:$V$163,8,0)=0,"",VLOOKUP($A$6,'Komp.Misch.'!$A$79:$V$163,8,0))</f>
        <v>#N/A</v>
      </c>
      <c r="Y10" t="e">
        <f>IF(X10="","",VLOOKUP(X10,'Komp.Misch.'!$A$2:$C$75,3,0))</f>
        <v>#N/A</v>
      </c>
      <c r="Z10" t="str">
        <f>IF(ISNA(VLOOKUP(X10,'Komp.Misch.'!$A$2:$D$75,4,0)),"",VLOOKUP(X10,'Komp.Misch.'!$A$2:$D$75,4,0))</f>
        <v/>
      </c>
      <c r="AA10" t="str">
        <f t="array" ref="AA10">IFERROR(INDEX($Z$4:$Z$24,MATCH(0,COUNTIF(AA$3:$AA9,$Z$4:$Z$24),0)),"")</f>
        <v/>
      </c>
      <c r="AB10" t="str">
        <f t="shared" ref="AB10:AB24" si="2">IF(AA10&lt;&gt;"",1,"")</f>
        <v/>
      </c>
      <c r="AC10" t="str">
        <f t="array" ref="AC10">IFERROR(INDEX($Y$4:$Y$24,MATCH(0,COUNTIF(AC$3:$AC9,$Y$4:$Y$24),0)),"")</f>
        <v/>
      </c>
      <c r="AE10" t="e">
        <f t="shared" si="1"/>
        <v>#N/A</v>
      </c>
    </row>
    <row r="11" spans="1:33" ht="24.95" customHeight="1" thickBot="1" x14ac:dyDescent="0.25">
      <c r="A11" s="297"/>
      <c r="B11" s="298"/>
      <c r="C11" s="299" t="str">
        <f>IF(A11="","",VLOOKUP(A11,'Komp.Misch.'!$A$2:$B$56,2,0))</f>
        <v/>
      </c>
      <c r="D11" s="294">
        <f t="shared" ref="D11:D18" si="3">IFERROR(IF($A$3="",B11,B11/$A$3),"")</f>
        <v>0</v>
      </c>
      <c r="E11" s="295" t="str">
        <f t="shared" ref="E11:E18" si="4">IFERROR(IF($A$3="",B11/C11,B11/$A$3/C11),"")</f>
        <v/>
      </c>
      <c r="F11" s="321"/>
      <c r="G11" s="300" t="str">
        <f t="shared" ref="G11:G17" si="5">IF(OR(F11=0,F11=""),"",B11*F11)</f>
        <v/>
      </c>
      <c r="H11" s="300" t="str">
        <f t="shared" ref="H11:H18" si="6">IF(AND(F11&gt;0,OR($A$3="",$A$3=0)),ROUND(F11*B11,2),IF(AND($A$3&gt;0,F11&gt;0),G11/$A$3,""))</f>
        <v/>
      </c>
      <c r="P11" t="s">
        <v>406</v>
      </c>
      <c r="Q11" t="s">
        <v>693</v>
      </c>
      <c r="R11" t="s">
        <v>714</v>
      </c>
      <c r="S11" t="s">
        <v>707</v>
      </c>
      <c r="V11" t="str">
        <f t="shared" si="0"/>
        <v/>
      </c>
      <c r="X11" s="278" t="e">
        <f>IF(VLOOKUP($A$6,'Komp.Misch.'!$A$79:$V$163,9,0)=0,"",VLOOKUP($A$6,'Komp.Misch.'!$A$79:$V$163,9,0))</f>
        <v>#N/A</v>
      </c>
      <c r="Y11" t="e">
        <f>IF(X11="","",VLOOKUP(X11,'Komp.Misch.'!$A$2:$C$75,3,0))</f>
        <v>#N/A</v>
      </c>
      <c r="Z11" t="str">
        <f>IF(ISNA(VLOOKUP(X11,'Komp.Misch.'!$A$2:$D$75,4,0)),"",VLOOKUP(X11,'Komp.Misch.'!$A$2:$D$75,4,0))</f>
        <v/>
      </c>
      <c r="AA11" t="str">
        <f t="array" ref="AA11">IFERROR(INDEX($Z$4:$Z$24,MATCH(0,COUNTIF(AA$3:$AA10,$Z$4:$Z$24),0)),"")</f>
        <v/>
      </c>
      <c r="AB11" t="str">
        <f t="shared" si="2"/>
        <v/>
      </c>
      <c r="AC11" t="str">
        <f t="array" ref="AC11">IFERROR(INDEX($Y$4:$Y$24,MATCH(0,COUNTIF(AC$3:$AC10,$Y$4:$Y$24),0)),"")</f>
        <v/>
      </c>
      <c r="AE11" t="e">
        <f t="shared" si="1"/>
        <v>#N/A</v>
      </c>
    </row>
    <row r="12" spans="1:33" ht="24.95" customHeight="1" thickBot="1" x14ac:dyDescent="0.25">
      <c r="A12" s="297"/>
      <c r="B12" s="298"/>
      <c r="C12" s="299" t="str">
        <f>IF(A12="","",VLOOKUP(A12,'Komp.Misch.'!$A$2:$B$56,2,0))</f>
        <v/>
      </c>
      <c r="D12" s="294">
        <f t="shared" si="3"/>
        <v>0</v>
      </c>
      <c r="E12" s="295" t="str">
        <f t="shared" si="4"/>
        <v/>
      </c>
      <c r="F12" s="321"/>
      <c r="G12" s="300" t="str">
        <f t="shared" si="5"/>
        <v/>
      </c>
      <c r="H12" s="300" t="str">
        <f t="shared" si="6"/>
        <v/>
      </c>
      <c r="P12" t="s">
        <v>576</v>
      </c>
      <c r="Q12" t="s">
        <v>449</v>
      </c>
      <c r="R12" t="s">
        <v>715</v>
      </c>
      <c r="S12" t="s">
        <v>399</v>
      </c>
      <c r="V12" t="str">
        <f t="shared" si="0"/>
        <v/>
      </c>
      <c r="X12" s="278" t="e">
        <f>IF(VLOOKUP($A$6,'Komp.Misch.'!$A$79:$V$163,10,0)=0,"",VLOOKUP($A$6,'Komp.Misch.'!$A$79:$V$163,10,0))</f>
        <v>#N/A</v>
      </c>
      <c r="Y12" t="e">
        <f>IF(X12="","",VLOOKUP(X12,'Komp.Misch.'!$A$2:$C$75,3,0))</f>
        <v>#N/A</v>
      </c>
      <c r="Z12" t="str">
        <f>IF(ISNA(VLOOKUP(X12,'Komp.Misch.'!$A$2:$D$75,4,0)),"",VLOOKUP(X12,'Komp.Misch.'!$A$2:$D$75,4,0))</f>
        <v/>
      </c>
      <c r="AA12" t="str">
        <f t="array" ref="AA12">IFERROR(INDEX($Z$4:$Z$24,MATCH(0,COUNTIF(AA$3:$AA11,$Z$4:$Z$24),0)),"")</f>
        <v/>
      </c>
      <c r="AB12" t="str">
        <f t="shared" si="2"/>
        <v/>
      </c>
      <c r="AC12" t="str">
        <f t="array" ref="AC12">IFERROR(INDEX($Y$4:$Y$24,MATCH(0,COUNTIF(AC$3:$AC11,$Y$4:$Y$24),0)),"")</f>
        <v/>
      </c>
      <c r="AE12" t="e">
        <f t="shared" si="1"/>
        <v>#N/A</v>
      </c>
    </row>
    <row r="13" spans="1:33" ht="24.95" customHeight="1" thickBot="1" x14ac:dyDescent="0.25">
      <c r="A13" s="297"/>
      <c r="B13" s="298"/>
      <c r="C13" s="299" t="str">
        <f>IF(A13="","",VLOOKUP(A13,'Komp.Misch.'!$A$2:$B$56,2,0))</f>
        <v/>
      </c>
      <c r="D13" s="294">
        <f t="shared" si="3"/>
        <v>0</v>
      </c>
      <c r="E13" s="295" t="str">
        <f t="shared" si="4"/>
        <v/>
      </c>
      <c r="F13" s="321"/>
      <c r="G13" s="300" t="str">
        <f t="shared" si="5"/>
        <v/>
      </c>
      <c r="H13" s="300" t="str">
        <f t="shared" si="6"/>
        <v/>
      </c>
      <c r="P13" t="s">
        <v>504</v>
      </c>
      <c r="Q13" t="s">
        <v>694</v>
      </c>
      <c r="R13" t="s">
        <v>546</v>
      </c>
      <c r="S13" t="s">
        <v>400</v>
      </c>
      <c r="V13" t="str">
        <f t="shared" si="0"/>
        <v/>
      </c>
      <c r="X13" s="278" t="e">
        <f>IF(VLOOKUP($A$6,'Komp.Misch.'!$A$79:$V$163,11,0)=0,"",VLOOKUP($A$6,'Komp.Misch.'!$A$79:$V$163,11,0))</f>
        <v>#N/A</v>
      </c>
      <c r="Y13" t="e">
        <f>IF(X13="","",VLOOKUP(X13,'Komp.Misch.'!$A$2:$C$75,3,0))</f>
        <v>#N/A</v>
      </c>
      <c r="Z13" t="str">
        <f>IF(ISNA(VLOOKUP(X13,'Komp.Misch.'!$A$2:$D$75,4,0)),"",VLOOKUP(X13,'Komp.Misch.'!$A$2:$D$75,4,0))</f>
        <v/>
      </c>
      <c r="AA13" t="str">
        <f t="array" ref="AA13">IFERROR(INDEX($Z$4:$Z$24,MATCH(0,COUNTIF(AA$3:$AA12,$Z$4:$Z$24),0)),"")</f>
        <v/>
      </c>
      <c r="AB13" t="str">
        <f t="shared" si="2"/>
        <v/>
      </c>
      <c r="AC13" t="str">
        <f t="array" ref="AC13">IFERROR(INDEX($Y$4:$Y$24,MATCH(0,COUNTIF(AC$3:$AC12,$Y$4:$Y$24),0)),"")</f>
        <v/>
      </c>
      <c r="AE13" t="e">
        <f t="shared" si="1"/>
        <v>#N/A</v>
      </c>
    </row>
    <row r="14" spans="1:33" ht="24.95" customHeight="1" thickBot="1" x14ac:dyDescent="0.25">
      <c r="A14" s="301"/>
      <c r="B14" s="302"/>
      <c r="C14" s="299" t="str">
        <f>IF(A14="","",VLOOKUP(A14,'Komp.Misch.'!$A$2:$B$56,2,0))</f>
        <v/>
      </c>
      <c r="D14" s="303">
        <f t="shared" si="3"/>
        <v>0</v>
      </c>
      <c r="E14" s="304" t="str">
        <f t="shared" si="4"/>
        <v/>
      </c>
      <c r="F14" s="322"/>
      <c r="G14" s="305" t="str">
        <f t="shared" si="5"/>
        <v/>
      </c>
      <c r="H14" s="305" t="str">
        <f t="shared" si="6"/>
        <v/>
      </c>
      <c r="P14" t="s">
        <v>79</v>
      </c>
      <c r="Q14" t="s">
        <v>452</v>
      </c>
      <c r="R14" t="s">
        <v>547</v>
      </c>
      <c r="S14" t="s">
        <v>708</v>
      </c>
      <c r="V14" t="str">
        <f t="shared" si="0"/>
        <v/>
      </c>
      <c r="X14" s="278" t="e">
        <f>IF(VLOOKUP($A$6,'Komp.Misch.'!$A$79:$V$163,12,0)=0,"",VLOOKUP($A$6,'Komp.Misch.'!$A$79:$V$163,12,0))</f>
        <v>#N/A</v>
      </c>
      <c r="Y14" t="e">
        <f>IF(X14="","",VLOOKUP(X14,'Komp.Misch.'!$A$2:$C$75,3,0))</f>
        <v>#N/A</v>
      </c>
      <c r="Z14" t="str">
        <f>IF(ISNA(VLOOKUP(X14,'Komp.Misch.'!$A$2:$D$75,4,0)),"",VLOOKUP(X14,'Komp.Misch.'!$A$2:$D$75,4,0))</f>
        <v/>
      </c>
      <c r="AA14" t="str">
        <f t="array" ref="AA14">IFERROR(INDEX($Z$4:$Z$24,MATCH(0,COUNTIF(AA$3:$AA13,$Z$4:$Z$24),0)),"")</f>
        <v/>
      </c>
      <c r="AB14" t="str">
        <f t="shared" si="2"/>
        <v/>
      </c>
      <c r="AC14" t="str">
        <f t="array" ref="AC14">IFERROR(INDEX($Y$4:$Y$24,MATCH(0,COUNTIF(AC$3:$AC13,$Y$4:$Y$24),0)),"")</f>
        <v/>
      </c>
      <c r="AE14" t="e">
        <f t="shared" si="1"/>
        <v>#N/A</v>
      </c>
    </row>
    <row r="15" spans="1:33" ht="24.95" customHeight="1" thickBot="1" x14ac:dyDescent="0.25">
      <c r="A15" s="307" t="s">
        <v>592</v>
      </c>
      <c r="B15" s="308"/>
      <c r="C15" s="309"/>
      <c r="D15" s="293">
        <f t="shared" si="3"/>
        <v>0</v>
      </c>
      <c r="E15" s="310" t="str">
        <f>IFERROR(IF($A$3="",B15/C15,B15/$A$3/C15),"")</f>
        <v/>
      </c>
      <c r="F15" s="323"/>
      <c r="G15" s="296" t="str">
        <f t="shared" si="5"/>
        <v/>
      </c>
      <c r="H15" s="296" t="str">
        <f t="shared" si="6"/>
        <v/>
      </c>
      <c r="P15" t="s">
        <v>80</v>
      </c>
      <c r="Q15" t="s">
        <v>450</v>
      </c>
      <c r="R15" t="s">
        <v>716</v>
      </c>
      <c r="S15" t="s">
        <v>709</v>
      </c>
      <c r="V15" t="str">
        <f t="shared" si="0"/>
        <v/>
      </c>
      <c r="X15" s="278" t="e">
        <f>IF(VLOOKUP($A$6,'Komp.Misch.'!$A$79:$V$163,13,0)=0,"",VLOOKUP($A$6,'Komp.Misch.'!$A$79:$V$163,13,0))</f>
        <v>#N/A</v>
      </c>
      <c r="Y15" t="e">
        <f>IF(X15="","",VLOOKUP(X15,'Komp.Misch.'!$A$2:$C$75,3,0))</f>
        <v>#N/A</v>
      </c>
      <c r="Z15" t="str">
        <f>IF(ISNA(VLOOKUP(X15,'Komp.Misch.'!$A$2:$D$75,4,0)),"",VLOOKUP(X15,'Komp.Misch.'!$A$2:$D$75,4,0))</f>
        <v/>
      </c>
      <c r="AA15" t="str">
        <f t="array" ref="AA15">IFERROR(INDEX($Z$4:$Z$24,MATCH(0,COUNTIF(AA$3:$AA14,$Z$4:$Z$24),0)),"")</f>
        <v/>
      </c>
      <c r="AB15" t="str">
        <f t="shared" si="2"/>
        <v/>
      </c>
      <c r="AC15" t="str">
        <f t="array" ref="AC15">IFERROR(INDEX($Y$4:$Y$24,MATCH(0,COUNTIF(AC$3:$AC14,$Y$4:$Y$24),0)),"")</f>
        <v/>
      </c>
      <c r="AE15" t="e">
        <f t="shared" si="1"/>
        <v>#N/A</v>
      </c>
    </row>
    <row r="16" spans="1:33" ht="24.95" customHeight="1" thickBot="1" x14ac:dyDescent="0.25">
      <c r="A16" s="311" t="s">
        <v>593</v>
      </c>
      <c r="B16" s="312"/>
      <c r="C16" s="313"/>
      <c r="D16" s="314">
        <f t="shared" si="3"/>
        <v>0</v>
      </c>
      <c r="E16" s="295" t="str">
        <f t="shared" si="4"/>
        <v/>
      </c>
      <c r="F16" s="324"/>
      <c r="G16" s="300" t="str">
        <f t="shared" si="5"/>
        <v/>
      </c>
      <c r="H16" s="300" t="str">
        <f t="shared" si="6"/>
        <v/>
      </c>
      <c r="P16" t="s">
        <v>726</v>
      </c>
      <c r="Q16" t="s">
        <v>1062</v>
      </c>
      <c r="R16" t="s">
        <v>717</v>
      </c>
      <c r="S16" t="s">
        <v>342</v>
      </c>
      <c r="V16" t="str">
        <f t="shared" si="0"/>
        <v/>
      </c>
      <c r="X16" s="278" t="e">
        <f>IF(VLOOKUP($A$6,'Komp.Misch.'!$A$79:$V$163,14,0)=0,"",VLOOKUP($A$6,'Komp.Misch.'!$A$79:$V$163,14,0))</f>
        <v>#N/A</v>
      </c>
      <c r="Y16" t="e">
        <f>IF(X16="","",VLOOKUP(X16,'Komp.Misch.'!$A$2:$C$75,3,0))</f>
        <v>#N/A</v>
      </c>
      <c r="Z16" t="str">
        <f>IF(ISNA(VLOOKUP(X16,'Komp.Misch.'!$A$2:$D$75,4,0)),"",VLOOKUP(X16,'Komp.Misch.'!$A$2:$D$75,4,0))</f>
        <v/>
      </c>
      <c r="AA16" t="str">
        <f t="array" ref="AA16">IFERROR(INDEX($Z$4:$Z$24,MATCH(0,COUNTIF(AA$3:$AA15,$Z$4:$Z$24),0)),"")</f>
        <v/>
      </c>
      <c r="AB16" t="str">
        <f t="shared" si="2"/>
        <v/>
      </c>
      <c r="AC16" t="str">
        <f t="array" ref="AC16">IFERROR(INDEX($Y$4:$Y$24,MATCH(0,COUNTIF(AC$3:$AC15,$Y$4:$Y$24),0)),"")</f>
        <v/>
      </c>
      <c r="AE16" t="e">
        <f t="shared" si="1"/>
        <v>#N/A</v>
      </c>
    </row>
    <row r="17" spans="1:31" ht="24.95" customHeight="1" thickBot="1" x14ac:dyDescent="0.25">
      <c r="A17" s="311" t="s">
        <v>594</v>
      </c>
      <c r="B17" s="312"/>
      <c r="C17" s="313"/>
      <c r="D17" s="294">
        <f t="shared" si="3"/>
        <v>0</v>
      </c>
      <c r="E17" s="295" t="str">
        <f t="shared" si="4"/>
        <v/>
      </c>
      <c r="F17" s="324"/>
      <c r="G17" s="300" t="str">
        <f t="shared" si="5"/>
        <v/>
      </c>
      <c r="H17" s="300" t="str">
        <f t="shared" si="6"/>
        <v/>
      </c>
      <c r="P17" t="s">
        <v>506</v>
      </c>
      <c r="Q17" t="s">
        <v>1063</v>
      </c>
      <c r="R17" t="s">
        <v>414</v>
      </c>
      <c r="S17" t="s">
        <v>710</v>
      </c>
      <c r="V17" t="str">
        <f t="shared" si="0"/>
        <v/>
      </c>
      <c r="X17" s="278" t="e">
        <f>IF(VLOOKUP($A$6,'Komp.Misch.'!$A$79:$V$163,15,0)=0,"",VLOOKUP($A$6,'Komp.Misch.'!$A$79:$V$163,15,0))</f>
        <v>#N/A</v>
      </c>
      <c r="Y17" t="e">
        <f>IF(X17="","",VLOOKUP(X17,'Komp.Misch.'!$A$2:$C$75,3,0))</f>
        <v>#N/A</v>
      </c>
      <c r="Z17" t="str">
        <f>IF(ISNA(VLOOKUP(X17,'Komp.Misch.'!$A$2:$D$75,4,0)),"",VLOOKUP(X17,'Komp.Misch.'!$A$2:$D$75,4,0))</f>
        <v/>
      </c>
      <c r="AA17" t="str">
        <f t="array" ref="AA17">IFERROR(INDEX($Z$4:$Z$24,MATCH(0,COUNTIF(AA$3:$AA16,$Z$4:$Z$24),0)),"")</f>
        <v/>
      </c>
      <c r="AB17" t="str">
        <f t="shared" si="2"/>
        <v/>
      </c>
      <c r="AC17" t="str">
        <f t="array" ref="AC17">IFERROR(INDEX($Y$4:$Y$24,MATCH(0,COUNTIF(AC$3:$AC16,$Y$4:$Y$24),0)),"")</f>
        <v/>
      </c>
      <c r="AE17" t="e">
        <f t="shared" si="1"/>
        <v>#N/A</v>
      </c>
    </row>
    <row r="18" spans="1:31" ht="24.95" customHeight="1" thickBot="1" x14ac:dyDescent="0.25">
      <c r="A18" s="315" t="s">
        <v>683</v>
      </c>
      <c r="B18" s="316"/>
      <c r="C18" s="317"/>
      <c r="D18" s="318">
        <f t="shared" si="3"/>
        <v>0</v>
      </c>
      <c r="E18" s="319" t="str">
        <f t="shared" si="4"/>
        <v/>
      </c>
      <c r="F18" s="325"/>
      <c r="G18" s="306" t="str">
        <f t="shared" ref="G18" si="7">IF(OR(F18=0,F18=""),"",B18*F18)</f>
        <v/>
      </c>
      <c r="H18" s="306" t="str">
        <f t="shared" si="6"/>
        <v/>
      </c>
      <c r="P18" t="s">
        <v>550</v>
      </c>
      <c r="Q18" t="s">
        <v>493</v>
      </c>
      <c r="R18" t="s">
        <v>348</v>
      </c>
      <c r="S18" t="s">
        <v>343</v>
      </c>
      <c r="V18" t="str">
        <f t="shared" si="0"/>
        <v/>
      </c>
      <c r="X18" s="278" t="e">
        <f>IF(VLOOKUP($A$6,'Komp.Misch.'!$A$79:$V$163,16,0)=0,"",VLOOKUP($A$6,'Komp.Misch.'!$A$79:$V$163,16,0))</f>
        <v>#N/A</v>
      </c>
      <c r="Y18" t="e">
        <f>IF(X18="","",VLOOKUP(X18,'Komp.Misch.'!$A$2:$C$75,3,0))</f>
        <v>#N/A</v>
      </c>
      <c r="Z18" t="str">
        <f>IF(ISNA(VLOOKUP(X18,'Komp.Misch.'!$A$2:$D$75,4,0)),"",VLOOKUP(X18,'Komp.Misch.'!$A$2:$D$75,4,0))</f>
        <v/>
      </c>
      <c r="AA18" t="str">
        <f t="array" ref="AA18">IFERROR(INDEX($Z$4:$Z$24,MATCH(0,COUNTIF(AA$3:$AA17,$Z$4:$Z$24),0)),"")</f>
        <v/>
      </c>
      <c r="AB18" t="str">
        <f t="shared" si="2"/>
        <v/>
      </c>
      <c r="AC18" t="str">
        <f t="array" ref="AC18">IFERROR(INDEX($Y$4:$Y$24,MATCH(0,COUNTIF(AC$3:$AC17,$Y$4:$Y$24),0)),"")</f>
        <v/>
      </c>
      <c r="AE18" t="e">
        <f t="shared" si="1"/>
        <v>#N/A</v>
      </c>
    </row>
    <row r="19" spans="1:31" ht="15" thickBot="1" x14ac:dyDescent="0.25">
      <c r="P19" t="s">
        <v>81</v>
      </c>
      <c r="Q19" t="s">
        <v>720</v>
      </c>
      <c r="R19" t="s">
        <v>350</v>
      </c>
      <c r="V19" t="str">
        <f t="shared" si="0"/>
        <v/>
      </c>
      <c r="X19" s="278" t="e">
        <f>IF(VLOOKUP($A$6,'Komp.Misch.'!$A$79:$V$163,17,0)=0,"",VLOOKUP($A$6,'Komp.Misch.'!$A$79:$V$163,17,0))</f>
        <v>#N/A</v>
      </c>
      <c r="Y19" t="e">
        <f>IF(X19="","",VLOOKUP(X19,'Komp.Misch.'!$A$2:$C$75,3,0))</f>
        <v>#N/A</v>
      </c>
      <c r="Z19" t="str">
        <f>IF(ISNA(VLOOKUP(X19,'Komp.Misch.'!$A$2:$D$75,4,0)),"",VLOOKUP(X19,'Komp.Misch.'!$A$2:$D$75,4,0))</f>
        <v/>
      </c>
      <c r="AA19" t="str">
        <f t="array" ref="AA19">IFERROR(INDEX($Z$4:$Z$24,MATCH(0,COUNTIF(AA$3:$AA18,$Z$4:$Z$24),0)),"")</f>
        <v/>
      </c>
      <c r="AB19" t="str">
        <f t="shared" si="2"/>
        <v/>
      </c>
      <c r="AC19" t="str">
        <f t="array" ref="AC19">IFERROR(INDEX($Y$4:$Y$24,MATCH(0,COUNTIF(AC$3:$AC18,$Y$4:$Y$24),0)),"")</f>
        <v/>
      </c>
      <c r="AE19" t="e">
        <f t="shared" si="1"/>
        <v>#N/A</v>
      </c>
    </row>
    <row r="20" spans="1:31" ht="15.75" thickBot="1" x14ac:dyDescent="0.25">
      <c r="A20" s="409"/>
      <c r="P20" t="s">
        <v>82</v>
      </c>
      <c r="Q20" t="s">
        <v>721</v>
      </c>
      <c r="R20" t="s">
        <v>352</v>
      </c>
      <c r="V20" t="str">
        <f t="shared" si="0"/>
        <v/>
      </c>
      <c r="X20" s="278" t="e">
        <f>IF(VLOOKUP($A$6,'Komp.Misch.'!$A$79:$V$163,18,0)=0,"",VLOOKUP($A$6,'Komp.Misch.'!$A$79:$V$163,18,0))</f>
        <v>#N/A</v>
      </c>
      <c r="Y20" t="e">
        <f>IF(X20="","",VLOOKUP(X20,'Komp.Misch.'!$A$2:$C$75,3,0))</f>
        <v>#N/A</v>
      </c>
      <c r="Z20" t="str">
        <f>IF(ISNA(VLOOKUP(X20,'Komp.Misch.'!$A$2:$D$75,4,0)),"",VLOOKUP(X20,'Komp.Misch.'!$A$2:$D$75,4,0))</f>
        <v/>
      </c>
      <c r="AA20" t="str">
        <f t="array" ref="AA20">IFERROR(INDEX($Z$4:$Z$24,MATCH(0,COUNTIF(AA$3:$AA19,$Z$4:$Z$24),0)),"")</f>
        <v/>
      </c>
      <c r="AB20" t="str">
        <f t="shared" si="2"/>
        <v/>
      </c>
      <c r="AC20" t="str">
        <f t="array" ref="AC20">IFERROR(INDEX($Y$4:$Y$24,MATCH(0,COUNTIF(AC$3:$AC19,$Y$4:$Y$24),0)),"")</f>
        <v/>
      </c>
      <c r="AE20" t="e">
        <f t="shared" si="1"/>
        <v>#N/A</v>
      </c>
    </row>
    <row r="21" spans="1:31" ht="15" thickBot="1" x14ac:dyDescent="0.25">
      <c r="P21" t="s">
        <v>83</v>
      </c>
      <c r="Q21" t="s">
        <v>722</v>
      </c>
      <c r="V21" t="str">
        <f t="shared" si="0"/>
        <v/>
      </c>
      <c r="X21" s="278" t="e">
        <f>IF(VLOOKUP($A$6,'Komp.Misch.'!$A$79:$V$163,19,0)=0,"",VLOOKUP($A$6,'Komp.Misch.'!$A$79:$V$163,19,0))</f>
        <v>#N/A</v>
      </c>
      <c r="Y21" t="e">
        <f>IF(X21="","",VLOOKUP(X21,'Komp.Misch.'!$A$2:$C$75,3,0))</f>
        <v>#N/A</v>
      </c>
      <c r="Z21" t="str">
        <f>IF(ISNA(VLOOKUP(X21,'Komp.Misch.'!$A$2:$D$75,4,0)),"",VLOOKUP(X21,'Komp.Misch.'!$A$2:$D$75,4,0))</f>
        <v/>
      </c>
      <c r="AA21" t="str">
        <f t="array" ref="AA21">IFERROR(INDEX($Z$4:$Z$24,MATCH(0,COUNTIF(AA$3:$AA20,$Z$4:$Z$24),0)),"")</f>
        <v/>
      </c>
      <c r="AB21" t="str">
        <f t="shared" si="2"/>
        <v/>
      </c>
      <c r="AC21" t="str">
        <f t="array" ref="AC21">IFERROR(INDEX($Y$4:$Y$24,MATCH(0,COUNTIF(AC$3:$AC20,$Y$4:$Y$24),0)),"")</f>
        <v/>
      </c>
      <c r="AE21" t="e">
        <f t="shared" si="1"/>
        <v>#N/A</v>
      </c>
    </row>
    <row r="22" spans="1:31" ht="15" thickBot="1" x14ac:dyDescent="0.25">
      <c r="P22" t="s">
        <v>345</v>
      </c>
      <c r="Q22" t="s">
        <v>723</v>
      </c>
      <c r="V22" t="str">
        <f t="shared" si="0"/>
        <v/>
      </c>
      <c r="X22" s="278" t="e">
        <f>IF(VLOOKUP($A$6,'Komp.Misch.'!$A$79:$V$163,20,0)=0,"",VLOOKUP($A$6,'Komp.Misch.'!$A$79:$V$163,20,0))</f>
        <v>#N/A</v>
      </c>
      <c r="Y22" t="e">
        <f>IF(X22="","",VLOOKUP(X22,'Komp.Misch.'!$A$2:$C$75,3,0))</f>
        <v>#N/A</v>
      </c>
      <c r="Z22" t="str">
        <f>IF(ISNA(VLOOKUP(X22,'Komp.Misch.'!$A$2:$D$75,4,0)),"",VLOOKUP(X22,'Komp.Misch.'!$A$2:$D$75,4,0))</f>
        <v/>
      </c>
      <c r="AA22" t="str">
        <f t="array" ref="AA22">IFERROR(INDEX($Z$4:$Z$24,MATCH(0,COUNTIF(AA$3:$AA21,$Z$4:$Z$24),0)),"")</f>
        <v/>
      </c>
      <c r="AB22" t="str">
        <f t="shared" si="2"/>
        <v/>
      </c>
      <c r="AC22" t="str">
        <f t="array" ref="AC22">IFERROR(INDEX($Y$4:$Y$24,MATCH(0,COUNTIF(AC$3:$AC21,$Y$4:$Y$24),0)),"")</f>
        <v/>
      </c>
      <c r="AE22" t="e">
        <f t="shared" si="1"/>
        <v>#N/A</v>
      </c>
    </row>
    <row r="23" spans="1:31" ht="15" thickBot="1" x14ac:dyDescent="0.25">
      <c r="P23" t="s">
        <v>84</v>
      </c>
      <c r="Q23" t="s">
        <v>724</v>
      </c>
      <c r="V23" t="str">
        <f t="shared" si="0"/>
        <v/>
      </c>
      <c r="X23" s="278" t="e">
        <f>IF(VLOOKUP($A$6,'Komp.Misch.'!$A$79:$V$163,21,0)=0,"",VLOOKUP($A$6,'Komp.Misch.'!$A$79:$V$163,21,0))</f>
        <v>#N/A</v>
      </c>
      <c r="Y23" t="e">
        <f>IF(X23="","",VLOOKUP(X23,'Komp.Misch.'!$A$2:$C$75,3,0))</f>
        <v>#N/A</v>
      </c>
      <c r="Z23" t="str">
        <f>IF(ISNA(VLOOKUP(X23,'Komp.Misch.'!$A$2:$D$75,4,0)),"",VLOOKUP(X23,'Komp.Misch.'!$A$2:$D$75,4,0))</f>
        <v/>
      </c>
      <c r="AA23" t="str">
        <f t="array" ref="AA23">IFERROR(INDEX($Z$4:$Z$24,MATCH(0,COUNTIF(AA$3:$AA22,$Z$4:$Z$24),0)),"")</f>
        <v/>
      </c>
      <c r="AB23" t="str">
        <f t="shared" si="2"/>
        <v/>
      </c>
      <c r="AC23" t="str">
        <f t="array" ref="AC23">IFERROR(INDEX($Y$4:$Y$24,MATCH(0,COUNTIF(AC$3:$AC22,$Y$4:$Y$24),0)),"")</f>
        <v/>
      </c>
      <c r="AE23" t="e">
        <f t="shared" si="1"/>
        <v>#N/A</v>
      </c>
    </row>
    <row r="24" spans="1:31" ht="15" thickBot="1" x14ac:dyDescent="0.25">
      <c r="P24" t="s">
        <v>85</v>
      </c>
      <c r="Q24" t="s">
        <v>725</v>
      </c>
      <c r="V24" t="str">
        <f t="shared" si="0"/>
        <v/>
      </c>
      <c r="X24" s="257" t="e">
        <f>IF(VLOOKUP($A$6,'Komp.Misch.'!$A$79:$V$163,22,0)=0,"",VLOOKUP($A$6,'Komp.Misch.'!$A$79:$V$163,22,0))</f>
        <v>#N/A</v>
      </c>
      <c r="Y24" t="e">
        <f>IF(X24="","",VLOOKUP(X24,'Komp.Misch.'!$A$2:$C$75,3,0))</f>
        <v>#N/A</v>
      </c>
      <c r="Z24" t="str">
        <f>IF(ISNA(VLOOKUP(X24,'Komp.Misch.'!$A$2:$D$75,4,0)),"",VLOOKUP(X24,'Komp.Misch.'!$A$2:$D$75,4,0))</f>
        <v/>
      </c>
      <c r="AA24" t="str">
        <f t="array" ref="AA24">IFERROR(INDEX($Z$4:$Z$24,MATCH(0,COUNTIF(AA$3:$AA23,$Z$4:$Z$24),0)),"")</f>
        <v/>
      </c>
      <c r="AB24" t="str">
        <f t="shared" si="2"/>
        <v/>
      </c>
      <c r="AC24" t="str">
        <f t="array" ref="AC24">IFERROR(INDEX($Y$4:$Y$24,MATCH(0,COUNTIF(AC$3:$AC23,$Y$4:$Y$24),0)),"")</f>
        <v/>
      </c>
      <c r="AE24" t="e">
        <f t="shared" si="1"/>
        <v>#N/A</v>
      </c>
    </row>
    <row r="25" spans="1:31" x14ac:dyDescent="0.2">
      <c r="P25" t="s">
        <v>410</v>
      </c>
      <c r="V25" t="str">
        <f t="shared" si="0"/>
        <v/>
      </c>
    </row>
    <row r="26" spans="1:31" x14ac:dyDescent="0.2">
      <c r="P26" t="s">
        <v>727</v>
      </c>
      <c r="V26" t="str">
        <f t="shared" si="0"/>
        <v/>
      </c>
    </row>
    <row r="27" spans="1:31" x14ac:dyDescent="0.2">
      <c r="P27" t="s">
        <v>50</v>
      </c>
      <c r="V27" t="str">
        <f t="shared" si="0"/>
        <v/>
      </c>
    </row>
    <row r="28" spans="1:31" x14ac:dyDescent="0.2">
      <c r="P28" t="s">
        <v>56</v>
      </c>
      <c r="V28" t="str">
        <f t="shared" si="0"/>
        <v/>
      </c>
    </row>
    <row r="29" spans="1:31" x14ac:dyDescent="0.2">
      <c r="P29" t="s">
        <v>578</v>
      </c>
      <c r="V29" t="str">
        <f t="shared" si="0"/>
        <v/>
      </c>
    </row>
    <row r="30" spans="1:31" x14ac:dyDescent="0.2">
      <c r="V30" t="str">
        <f t="shared" si="0"/>
        <v/>
      </c>
    </row>
    <row r="31" spans="1:31" x14ac:dyDescent="0.2">
      <c r="V31" t="str">
        <f t="shared" si="0"/>
        <v/>
      </c>
    </row>
    <row r="32" spans="1:31" x14ac:dyDescent="0.2">
      <c r="V32" t="str">
        <f t="shared" si="0"/>
        <v/>
      </c>
    </row>
    <row r="33" spans="22:22" x14ac:dyDescent="0.2">
      <c r="V33" t="str">
        <f t="shared" si="0"/>
        <v/>
      </c>
    </row>
    <row r="34" spans="22:22" x14ac:dyDescent="0.2">
      <c r="V34" t="str">
        <f t="shared" si="0"/>
        <v/>
      </c>
    </row>
    <row r="35" spans="22:22" x14ac:dyDescent="0.2">
      <c r="V35" t="str">
        <f t="shared" si="0"/>
        <v/>
      </c>
    </row>
    <row r="36" spans="22:22" x14ac:dyDescent="0.2">
      <c r="V36" t="str">
        <f t="shared" si="0"/>
        <v/>
      </c>
    </row>
    <row r="37" spans="22:22" x14ac:dyDescent="0.2">
      <c r="V37" t="str">
        <f t="shared" si="0"/>
        <v/>
      </c>
    </row>
    <row r="38" spans="22:22" x14ac:dyDescent="0.2">
      <c r="V38" t="str">
        <f t="shared" si="0"/>
        <v/>
      </c>
    </row>
    <row r="39" spans="22:22" x14ac:dyDescent="0.2">
      <c r="V39" t="str">
        <f t="shared" si="0"/>
        <v/>
      </c>
    </row>
    <row r="40" spans="22:22" x14ac:dyDescent="0.2">
      <c r="V40" t="str">
        <f t="shared" si="0"/>
        <v/>
      </c>
    </row>
    <row r="41" spans="22:22" x14ac:dyDescent="0.2">
      <c r="V41" t="str">
        <f t="shared" si="0"/>
        <v/>
      </c>
    </row>
    <row r="42" spans="22:22" x14ac:dyDescent="0.2">
      <c r="V42" t="str">
        <f t="shared" si="0"/>
        <v/>
      </c>
    </row>
    <row r="43" spans="22:22" x14ac:dyDescent="0.2">
      <c r="V43" t="str">
        <f t="shared" si="0"/>
        <v/>
      </c>
    </row>
    <row r="44" spans="22:22" x14ac:dyDescent="0.2">
      <c r="V44" t="str">
        <f t="shared" si="0"/>
        <v/>
      </c>
    </row>
    <row r="45" spans="22:22" x14ac:dyDescent="0.2">
      <c r="V45" t="str">
        <f t="shared" si="0"/>
        <v/>
      </c>
    </row>
    <row r="46" spans="22:22" x14ac:dyDescent="0.2">
      <c r="V46" t="str">
        <f t="shared" si="0"/>
        <v/>
      </c>
    </row>
    <row r="47" spans="22:22" x14ac:dyDescent="0.2">
      <c r="V47" t="str">
        <f t="shared" si="0"/>
        <v/>
      </c>
    </row>
    <row r="48" spans="22:22" x14ac:dyDescent="0.2">
      <c r="V48" t="str">
        <f t="shared" si="0"/>
        <v/>
      </c>
    </row>
    <row r="49" spans="22:22" x14ac:dyDescent="0.2">
      <c r="V49" t="str">
        <f t="shared" si="0"/>
        <v/>
      </c>
    </row>
  </sheetData>
  <sheetProtection algorithmName="SHA-512" hashValue="YbNBVnFa6EYJDTqaRpOodczjCzfi6ms23e8iM7mBOk8COqvnga/B2YcPZxwZEz42Zym7/6AqaMk6ZD8yriGPqQ==" saltValue="7UnrAI6y0xH+1TLxAgl+UA==" spinCount="100000" sheet="1" objects="1" scenarios="1"/>
  <mergeCells count="7">
    <mergeCell ref="A7:H7"/>
    <mergeCell ref="A8:H8"/>
    <mergeCell ref="A1:H1"/>
    <mergeCell ref="C2:D2"/>
    <mergeCell ref="C3:D3"/>
    <mergeCell ref="E3:F3"/>
    <mergeCell ref="E2:F2"/>
  </mergeCells>
  <conditionalFormatting sqref="A3">
    <cfRule type="expression" dxfId="36" priority="14">
      <formula>$A$3=""</formula>
    </cfRule>
  </conditionalFormatting>
  <conditionalFormatting sqref="A6">
    <cfRule type="expression" dxfId="35" priority="12">
      <formula>AND($B$3&lt;&gt;"",$A$6="")</formula>
    </cfRule>
  </conditionalFormatting>
  <conditionalFormatting sqref="B3">
    <cfRule type="expression" dxfId="34" priority="13">
      <formula>AND($A$3&lt;&gt;"",$B$3="")</formula>
    </cfRule>
  </conditionalFormatting>
  <conditionalFormatting sqref="B6">
    <cfRule type="expression" dxfId="33" priority="11">
      <formula>AND($A$6&lt;&gt;"",OR($B$6="",$B$6=0))</formula>
    </cfRule>
  </conditionalFormatting>
  <conditionalFormatting sqref="C2:D2">
    <cfRule type="expression" dxfId="32" priority="5">
      <formula>SUM($C$6,$D$10,$D$11,$D$12,$D$13,$D$14,$D$15,$D$16,$D$17,$D$18)&gt;0</formula>
    </cfRule>
  </conditionalFormatting>
  <conditionalFormatting sqref="C3:D3">
    <cfRule type="expression" dxfId="31" priority="4">
      <formula>SUM($B$6,$B$10,$B$11,$B$12,$B$13,$B$14,$B$15,$B$16,$B$17,$B$18)</formula>
    </cfRule>
  </conditionalFormatting>
  <conditionalFormatting sqref="E2:E3">
    <cfRule type="expression" dxfId="30" priority="60">
      <formula>OR(AND($E$3&gt;0,$E$3&lt;0.8),$E$3="")</formula>
    </cfRule>
    <cfRule type="expression" dxfId="29" priority="61">
      <formula>$E$3&gt;=1</formula>
    </cfRule>
    <cfRule type="expression" dxfId="28" priority="62">
      <formula>AND($E$3&gt;=0.9,$E$3&lt;1)</formula>
    </cfRule>
    <cfRule type="expression" dxfId="27" priority="63">
      <formula>AND($E$3&gt;0.8,$E$3&lt;0.9)</formula>
    </cfRule>
  </conditionalFormatting>
  <conditionalFormatting sqref="E6">
    <cfRule type="expression" dxfId="26" priority="1">
      <formula>$E$6&lt;&gt;""</formula>
    </cfRule>
  </conditionalFormatting>
  <conditionalFormatting sqref="E10:E18">
    <cfRule type="expression" dxfId="25" priority="10">
      <formula>AND(B10&gt;0,C10&lt;&gt;"")</formula>
    </cfRule>
  </conditionalFormatting>
  <conditionalFormatting sqref="G2">
    <cfRule type="expression" dxfId="24" priority="7">
      <formula>$G$3&gt;0</formula>
    </cfRule>
  </conditionalFormatting>
  <conditionalFormatting sqref="G3">
    <cfRule type="expression" dxfId="23" priority="9">
      <formula>$G$3&gt;0</formula>
    </cfRule>
  </conditionalFormatting>
  <conditionalFormatting sqref="G10:G18">
    <cfRule type="expression" dxfId="22" priority="3">
      <formula>AND(F10&gt;0,B10&gt;0)</formula>
    </cfRule>
  </conditionalFormatting>
  <conditionalFormatting sqref="H2">
    <cfRule type="expression" dxfId="21" priority="6">
      <formula>$H$3&gt;0</formula>
    </cfRule>
  </conditionalFormatting>
  <conditionalFormatting sqref="H3">
    <cfRule type="expression" dxfId="20" priority="8">
      <formula>$H$3&gt;0</formula>
    </cfRule>
  </conditionalFormatting>
  <conditionalFormatting sqref="H10:H18">
    <cfRule type="expression" dxfId="19" priority="2">
      <formula>AND(F10&gt;0,B10&gt;0)</formula>
    </cfRule>
  </conditionalFormatting>
  <dataValidations count="6">
    <dataValidation type="list" allowBlank="1" showInputMessage="1" showErrorMessage="1" sqref="A6" xr:uid="{AA57C492-9224-41ED-99D4-7C5D08731DA3}">
      <formula1>$V$3:$V$49</formula1>
    </dataValidation>
    <dataValidation type="list" allowBlank="1" showInputMessage="1" showErrorMessage="1" sqref="B3" xr:uid="{28DC89E0-1FF9-4A71-9414-DDD78E0F21ED}">
      <formula1>$N$2:$N$8</formula1>
    </dataValidation>
    <dataValidation type="decimal" allowBlank="1" showInputMessage="1" showErrorMessage="1" errorTitle="Nur Zahlen &gt;0 möglich" error="Es können nur Zahlen &gt;0 eigegeben werden" sqref="A3" xr:uid="{9EA88252-1FB6-42C9-8E59-59983DEB85FE}">
      <formula1>0.0001</formula1>
      <formula2>10000000</formula2>
    </dataValidation>
    <dataValidation type="decimal" allowBlank="1" showInputMessage="1" showErrorMessage="1" sqref="B6" xr:uid="{B818A57F-1963-4C98-9BA1-D93E6A06DEC6}">
      <formula1>0.01</formula1>
      <formula2>1000000</formula2>
    </dataValidation>
    <dataValidation type="decimal" allowBlank="1" showInputMessage="1" showErrorMessage="1" errorTitle="Zahl muss &gt;0 sein" error="Es können nur Zahlen &gt;0 eigegeben werden" sqref="B10:B18 F10:F18" xr:uid="{7F679792-89C6-4AF9-9205-B67B6F10DE2D}">
      <formula1>0.01</formula1>
      <formula2>1000000</formula2>
    </dataValidation>
    <dataValidation type="decimal" allowBlank="1" showInputMessage="1" showErrorMessage="1" errorTitle="Zahl muss &gt; 0 sein" error="Es können nur Zahlen &gt;0 eigegeben werden" sqref="C15:C18" xr:uid="{DB4B28FF-C2AB-4785-9DF8-53567AEAAD75}">
      <formula1>0.01</formula1>
      <formula2>1000000</formula2>
    </dataValidation>
  </dataValidations>
  <pageMargins left="0.7" right="0.7" top="0.78740157499999996" bottom="0.78740157499999996" header="0.3" footer="0.3"/>
  <pageSetup paperSize="9" scale="57"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138A3AD-3D3F-411E-8E23-921B734337D7}">
          <x14:formula1>
            <xm:f>'Komp.Misch.'!$A$1:$A$56</xm:f>
          </x14:formula1>
          <xm:sqref>A10:A14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C4A44-F7DD-467A-88D1-F0F0EDE8ECC4}">
  <dimension ref="A1:CD163"/>
  <sheetViews>
    <sheetView topLeftCell="A73" workbookViewId="0">
      <selection activeCell="A99" sqref="A99"/>
    </sheetView>
  </sheetViews>
  <sheetFormatPr baseColWidth="10" defaultRowHeight="14.25" x14ac:dyDescent="0.2"/>
  <cols>
    <col min="1" max="3" width="49.5" customWidth="1"/>
    <col min="4" max="4" width="39.625" bestFit="1" customWidth="1"/>
    <col min="5" max="5" width="16.75" customWidth="1"/>
    <col min="6" max="6" width="40.375" bestFit="1" customWidth="1"/>
    <col min="8" max="8" width="17.25" customWidth="1"/>
    <col min="23" max="23" width="40.375" bestFit="1" customWidth="1"/>
    <col min="24" max="24" width="43.375" bestFit="1" customWidth="1"/>
    <col min="71" max="72" width="40.375" bestFit="1" customWidth="1"/>
    <col min="73" max="73" width="11.75" bestFit="1" customWidth="1"/>
    <col min="74" max="74" width="19.75" bestFit="1" customWidth="1"/>
    <col min="75" max="75" width="13.125" bestFit="1" customWidth="1"/>
    <col min="76" max="76" width="26.875" bestFit="1" customWidth="1"/>
    <col min="77" max="77" width="26" bestFit="1" customWidth="1"/>
    <col min="78" max="78" width="16.375" bestFit="1" customWidth="1"/>
    <col min="79" max="79" width="10.75" bestFit="1" customWidth="1"/>
  </cols>
  <sheetData>
    <row r="1" spans="1:82" x14ac:dyDescent="0.2">
      <c r="B1" t="s">
        <v>590</v>
      </c>
      <c r="C1" t="s">
        <v>606</v>
      </c>
      <c r="D1" t="s">
        <v>733</v>
      </c>
      <c r="E1" t="s">
        <v>348</v>
      </c>
      <c r="F1" t="s">
        <v>349</v>
      </c>
      <c r="G1" t="s">
        <v>418</v>
      </c>
      <c r="H1" t="s">
        <v>548</v>
      </c>
      <c r="I1" t="s">
        <v>414</v>
      </c>
      <c r="J1" t="s">
        <v>52</v>
      </c>
      <c r="K1" t="s">
        <v>54</v>
      </c>
      <c r="L1" t="s">
        <v>351</v>
      </c>
      <c r="M1" t="s">
        <v>55</v>
      </c>
      <c r="N1" t="s">
        <v>509</v>
      </c>
      <c r="O1" t="s">
        <v>510</v>
      </c>
      <c r="P1" t="s">
        <v>511</v>
      </c>
      <c r="Q1" t="s">
        <v>512</v>
      </c>
      <c r="R1" t="s">
        <v>546</v>
      </c>
      <c r="S1" t="s">
        <v>547</v>
      </c>
      <c r="T1" t="s">
        <v>403</v>
      </c>
      <c r="U1" t="s">
        <v>575</v>
      </c>
      <c r="V1" t="s">
        <v>456</v>
      </c>
      <c r="W1" t="s">
        <v>405</v>
      </c>
      <c r="X1" t="s">
        <v>503</v>
      </c>
      <c r="Y1" t="s">
        <v>44</v>
      </c>
      <c r="Z1" t="s">
        <v>45</v>
      </c>
      <c r="AA1" t="s">
        <v>406</v>
      </c>
      <c r="AB1" t="s">
        <v>576</v>
      </c>
      <c r="AC1" t="s">
        <v>504</v>
      </c>
      <c r="AD1" t="s">
        <v>80</v>
      </c>
      <c r="AE1" t="s">
        <v>577</v>
      </c>
      <c r="AF1" t="s">
        <v>506</v>
      </c>
      <c r="AG1" t="s">
        <v>550</v>
      </c>
      <c r="AH1" t="s">
        <v>81</v>
      </c>
      <c r="AI1" t="s">
        <v>82</v>
      </c>
      <c r="AJ1" t="s">
        <v>83</v>
      </c>
      <c r="AK1" t="s">
        <v>345</v>
      </c>
      <c r="AL1" t="s">
        <v>84</v>
      </c>
      <c r="AM1" t="s">
        <v>85</v>
      </c>
      <c r="AN1" t="s">
        <v>409</v>
      </c>
      <c r="AO1" t="s">
        <v>50</v>
      </c>
      <c r="AP1" t="s">
        <v>56</v>
      </c>
      <c r="AQ1" t="s">
        <v>578</v>
      </c>
      <c r="AR1" t="s">
        <v>390</v>
      </c>
      <c r="AS1" t="s">
        <v>340</v>
      </c>
      <c r="AT1" t="s">
        <v>341</v>
      </c>
      <c r="AU1" t="s">
        <v>494</v>
      </c>
      <c r="AV1" t="s">
        <v>495</v>
      </c>
      <c r="AW1" t="s">
        <v>496</v>
      </c>
      <c r="AX1" t="s">
        <v>497</v>
      </c>
      <c r="AY1" t="s">
        <v>498</v>
      </c>
      <c r="AZ1" t="s">
        <v>400</v>
      </c>
      <c r="BA1" t="s">
        <v>500</v>
      </c>
      <c r="BB1" t="s">
        <v>401</v>
      </c>
      <c r="BC1" t="s">
        <v>488</v>
      </c>
      <c r="BD1" t="s">
        <v>447</v>
      </c>
      <c r="BE1" t="s">
        <v>451</v>
      </c>
      <c r="BF1" t="s">
        <v>489</v>
      </c>
      <c r="BG1" t="s">
        <v>337</v>
      </c>
      <c r="BH1" t="s">
        <v>448</v>
      </c>
      <c r="BI1" t="s">
        <v>338</v>
      </c>
      <c r="BJ1" t="s">
        <v>449</v>
      </c>
      <c r="BK1" t="s">
        <v>491</v>
      </c>
      <c r="BL1" t="s">
        <v>452</v>
      </c>
      <c r="BM1" t="s">
        <v>450</v>
      </c>
      <c r="BN1" t="s">
        <v>492</v>
      </c>
      <c r="BO1" t="s">
        <v>493</v>
      </c>
      <c r="BP1" t="s">
        <v>570</v>
      </c>
      <c r="BQ1" t="s">
        <v>571</v>
      </c>
      <c r="BR1" t="s">
        <v>572</v>
      </c>
      <c r="BS1" t="s">
        <v>573</v>
      </c>
      <c r="BT1" t="s">
        <v>445</v>
      </c>
      <c r="BU1" t="s">
        <v>446</v>
      </c>
      <c r="BV1" t="s">
        <v>597</v>
      </c>
      <c r="BW1" t="s">
        <v>598</v>
      </c>
      <c r="BX1" t="s">
        <v>599</v>
      </c>
      <c r="BY1" t="s">
        <v>600</v>
      </c>
      <c r="BZ1" t="s">
        <v>601</v>
      </c>
      <c r="CA1" t="s">
        <v>605</v>
      </c>
      <c r="CB1" t="s">
        <v>602</v>
      </c>
      <c r="CC1" t="s">
        <v>604</v>
      </c>
      <c r="CD1" t="s">
        <v>603</v>
      </c>
    </row>
    <row r="2" spans="1:82" x14ac:dyDescent="0.2">
      <c r="A2" t="s">
        <v>62</v>
      </c>
      <c r="B2">
        <f>VLOOKUP(A2,'Begr.-Rechner int. Prod.'!$A$4:$I$59,3,0)</f>
        <v>15</v>
      </c>
      <c r="C2" t="str">
        <f>VLOOKUP(A2,'Begr.-Rechner int. Prod.'!A4:I59,9,0)</f>
        <v>Kreuzblütler</v>
      </c>
      <c r="D2" t="s">
        <v>62</v>
      </c>
      <c r="E2" t="s">
        <v>10</v>
      </c>
      <c r="F2" t="s">
        <v>8</v>
      </c>
      <c r="G2" t="s">
        <v>23</v>
      </c>
      <c r="H2" t="s">
        <v>8</v>
      </c>
      <c r="I2" t="s">
        <v>551</v>
      </c>
      <c r="J2" t="s">
        <v>64</v>
      </c>
      <c r="K2" t="s">
        <v>554</v>
      </c>
      <c r="L2" t="s">
        <v>8</v>
      </c>
      <c r="M2" t="s">
        <v>551</v>
      </c>
      <c r="N2" t="s">
        <v>8</v>
      </c>
      <c r="O2" t="s">
        <v>8</v>
      </c>
      <c r="P2" t="s">
        <v>8</v>
      </c>
      <c r="Q2" t="s">
        <v>551</v>
      </c>
      <c r="R2" t="s">
        <v>380</v>
      </c>
      <c r="S2" t="s">
        <v>19</v>
      </c>
      <c r="T2" t="s">
        <v>8</v>
      </c>
      <c r="U2" t="s">
        <v>8</v>
      </c>
      <c r="V2" t="s">
        <v>23</v>
      </c>
      <c r="W2" t="s">
        <v>8</v>
      </c>
      <c r="X2" t="s">
        <v>8</v>
      </c>
      <c r="Y2" t="s">
        <v>8</v>
      </c>
      <c r="Z2" t="s">
        <v>8</v>
      </c>
      <c r="AA2" t="s">
        <v>8</v>
      </c>
      <c r="AB2" t="s">
        <v>8</v>
      </c>
      <c r="AC2" t="s">
        <v>483</v>
      </c>
      <c r="AD2" t="s">
        <v>551</v>
      </c>
      <c r="AE2" t="s">
        <v>551</v>
      </c>
      <c r="AF2" t="s">
        <v>268</v>
      </c>
      <c r="AG2" t="s">
        <v>268</v>
      </c>
      <c r="AH2" t="s">
        <v>66</v>
      </c>
      <c r="AI2" t="s">
        <v>66</v>
      </c>
      <c r="AJ2" t="s">
        <v>551</v>
      </c>
      <c r="AK2" t="s">
        <v>8</v>
      </c>
      <c r="AL2" t="s">
        <v>8</v>
      </c>
      <c r="AM2" t="s">
        <v>374</v>
      </c>
      <c r="AN2" t="s">
        <v>8</v>
      </c>
      <c r="AO2" t="s">
        <v>8</v>
      </c>
      <c r="AP2" t="s">
        <v>64</v>
      </c>
      <c r="AQ2" t="s">
        <v>64</v>
      </c>
      <c r="AR2" t="s">
        <v>11</v>
      </c>
      <c r="AS2" t="s">
        <v>551</v>
      </c>
      <c r="AT2" t="s">
        <v>8</v>
      </c>
      <c r="AU2" t="s">
        <v>551</v>
      </c>
      <c r="AV2" t="s">
        <v>8</v>
      </c>
      <c r="AW2" t="s">
        <v>8</v>
      </c>
      <c r="AX2" t="s">
        <v>551</v>
      </c>
      <c r="AY2" t="s">
        <v>8</v>
      </c>
      <c r="AZ2" t="s">
        <v>551</v>
      </c>
      <c r="BA2" t="s">
        <v>8</v>
      </c>
      <c r="BB2" t="s">
        <v>8</v>
      </c>
      <c r="BC2" t="s">
        <v>62</v>
      </c>
      <c r="BD2" t="s">
        <v>62</v>
      </c>
      <c r="BE2" t="s">
        <v>69</v>
      </c>
      <c r="BF2" t="s">
        <v>551</v>
      </c>
      <c r="BG2" t="s">
        <v>62</v>
      </c>
      <c r="BH2" t="s">
        <v>62</v>
      </c>
      <c r="BI2" t="s">
        <v>62</v>
      </c>
      <c r="BJ2" t="s">
        <v>8</v>
      </c>
      <c r="BK2" t="s">
        <v>8</v>
      </c>
      <c r="BL2" t="s">
        <v>8</v>
      </c>
      <c r="BM2" t="s">
        <v>8</v>
      </c>
      <c r="BN2" t="s">
        <v>8</v>
      </c>
      <c r="BO2" t="s">
        <v>64</v>
      </c>
      <c r="BP2" t="s">
        <v>551</v>
      </c>
      <c r="BQ2" t="s">
        <v>483</v>
      </c>
      <c r="BR2" t="s">
        <v>8</v>
      </c>
      <c r="BS2" t="s">
        <v>8</v>
      </c>
      <c r="BT2" t="s">
        <v>551</v>
      </c>
      <c r="BU2" t="s">
        <v>551</v>
      </c>
      <c r="BV2" t="s">
        <v>8</v>
      </c>
      <c r="BW2" t="s">
        <v>8</v>
      </c>
      <c r="BX2" t="s">
        <v>8</v>
      </c>
      <c r="BY2" t="s">
        <v>8</v>
      </c>
      <c r="BZ2" t="s">
        <v>62</v>
      </c>
      <c r="CA2" t="s">
        <v>16</v>
      </c>
      <c r="CB2" t="s">
        <v>8</v>
      </c>
      <c r="CC2" t="s">
        <v>551</v>
      </c>
      <c r="CD2" t="s">
        <v>16</v>
      </c>
    </row>
    <row r="3" spans="1:82" x14ac:dyDescent="0.2">
      <c r="A3" t="s">
        <v>8</v>
      </c>
      <c r="B3">
        <f>VLOOKUP(A3,'Begr.-Rechner int. Prod.'!$A$4:$I$59,3,0)</f>
        <v>25</v>
      </c>
      <c r="C3" t="str">
        <f>VLOOKUP(A3,'Begr.-Rechner int. Prod.'!A5:I60,9,0)</f>
        <v>Leguminose</v>
      </c>
      <c r="D3" t="s">
        <v>8</v>
      </c>
      <c r="E3" t="s">
        <v>66</v>
      </c>
      <c r="F3" t="s">
        <v>23</v>
      </c>
      <c r="G3" t="s">
        <v>552</v>
      </c>
      <c r="H3" t="s">
        <v>64</v>
      </c>
      <c r="I3" t="s">
        <v>66</v>
      </c>
      <c r="J3" t="s">
        <v>16</v>
      </c>
      <c r="K3" t="s">
        <v>13</v>
      </c>
      <c r="L3" t="s">
        <v>13</v>
      </c>
      <c r="M3" t="s">
        <v>24</v>
      </c>
      <c r="N3" t="s">
        <v>16</v>
      </c>
      <c r="O3" t="s">
        <v>486</v>
      </c>
      <c r="P3" t="s">
        <v>486</v>
      </c>
      <c r="Q3" t="s">
        <v>24</v>
      </c>
      <c r="R3" t="s">
        <v>38</v>
      </c>
      <c r="S3" t="s">
        <v>552</v>
      </c>
      <c r="T3" t="s">
        <v>552</v>
      </c>
      <c r="U3" t="s">
        <v>10</v>
      </c>
      <c r="V3" t="s">
        <v>24</v>
      </c>
      <c r="W3" t="s">
        <v>551</v>
      </c>
      <c r="X3" t="s">
        <v>378</v>
      </c>
      <c r="Y3" t="s">
        <v>551</v>
      </c>
      <c r="Z3" t="s">
        <v>551</v>
      </c>
      <c r="AA3" t="s">
        <v>378</v>
      </c>
      <c r="AB3" t="s">
        <v>378</v>
      </c>
      <c r="AC3" t="s">
        <v>91</v>
      </c>
      <c r="AD3" t="s">
        <v>16</v>
      </c>
      <c r="AE3" t="s">
        <v>16</v>
      </c>
      <c r="AF3" t="s">
        <v>13</v>
      </c>
      <c r="AG3" t="s">
        <v>13</v>
      </c>
      <c r="AH3" t="s">
        <v>16</v>
      </c>
      <c r="AI3" t="s">
        <v>70</v>
      </c>
      <c r="AJ3" t="s">
        <v>67</v>
      </c>
      <c r="AK3" t="s">
        <v>551</v>
      </c>
      <c r="AL3" t="s">
        <v>16</v>
      </c>
      <c r="AM3" t="s">
        <v>376</v>
      </c>
      <c r="AN3" t="s">
        <v>552</v>
      </c>
      <c r="AO3" t="s">
        <v>64</v>
      </c>
      <c r="AP3" t="s">
        <v>16</v>
      </c>
      <c r="AQ3" t="s">
        <v>16</v>
      </c>
      <c r="AR3" t="s">
        <v>376</v>
      </c>
      <c r="AS3" t="s">
        <v>378</v>
      </c>
      <c r="AT3" t="s">
        <v>91</v>
      </c>
      <c r="AU3" t="s">
        <v>16</v>
      </c>
      <c r="AV3" t="s">
        <v>551</v>
      </c>
      <c r="AW3" t="s">
        <v>552</v>
      </c>
      <c r="AX3" t="s">
        <v>378</v>
      </c>
      <c r="AY3" t="s">
        <v>16</v>
      </c>
      <c r="AZ3" t="s">
        <v>378</v>
      </c>
      <c r="BA3" t="s">
        <v>16</v>
      </c>
      <c r="BB3" t="s">
        <v>16</v>
      </c>
      <c r="BC3" t="s">
        <v>8</v>
      </c>
      <c r="BD3" t="s">
        <v>15</v>
      </c>
      <c r="BE3" t="s">
        <v>552</v>
      </c>
      <c r="BF3" t="s">
        <v>19</v>
      </c>
      <c r="BG3" t="s">
        <v>8</v>
      </c>
      <c r="BH3" t="s">
        <v>8</v>
      </c>
      <c r="BI3" t="s">
        <v>8</v>
      </c>
      <c r="BJ3" t="s">
        <v>554</v>
      </c>
      <c r="BK3" t="s">
        <v>13</v>
      </c>
      <c r="BL3" t="s">
        <v>554</v>
      </c>
      <c r="BM3" t="s">
        <v>13</v>
      </c>
      <c r="BN3" t="s">
        <v>554</v>
      </c>
      <c r="BO3" t="s">
        <v>16</v>
      </c>
      <c r="BP3" t="s">
        <v>19</v>
      </c>
      <c r="BQ3" t="s">
        <v>26</v>
      </c>
      <c r="BR3" t="s">
        <v>554</v>
      </c>
      <c r="BS3" t="s">
        <v>554</v>
      </c>
      <c r="BT3" t="s">
        <v>378</v>
      </c>
      <c r="BU3" t="s">
        <v>378</v>
      </c>
      <c r="BV3" t="s">
        <v>378</v>
      </c>
      <c r="BW3" t="s">
        <v>16</v>
      </c>
      <c r="BX3" t="s">
        <v>551</v>
      </c>
      <c r="BY3" t="s">
        <v>551</v>
      </c>
      <c r="BZ3" t="s">
        <v>8</v>
      </c>
      <c r="CA3" t="s">
        <v>552</v>
      </c>
      <c r="CB3" t="s">
        <v>552</v>
      </c>
      <c r="CC3" t="s">
        <v>378</v>
      </c>
      <c r="CD3" t="s">
        <v>23</v>
      </c>
    </row>
    <row r="4" spans="1:82" x14ac:dyDescent="0.2">
      <c r="A4" t="s">
        <v>64</v>
      </c>
      <c r="B4">
        <f>VLOOKUP(A4,'Begr.-Rechner int. Prod.'!$A$4:$I$59,3,0)</f>
        <v>25</v>
      </c>
      <c r="C4" t="str">
        <f>VLOOKUP(A4,'Begr.-Rechner int. Prod.'!A6:I61,9,0)</f>
        <v>Gräser</v>
      </c>
      <c r="D4" t="s">
        <v>64</v>
      </c>
      <c r="E4" t="s">
        <v>14</v>
      </c>
      <c r="F4" t="s">
        <v>552</v>
      </c>
      <c r="G4" t="s">
        <v>483</v>
      </c>
      <c r="H4" t="s">
        <v>11</v>
      </c>
      <c r="I4" t="s">
        <v>14</v>
      </c>
      <c r="J4" t="s">
        <v>41</v>
      </c>
      <c r="K4" t="s">
        <v>478</v>
      </c>
      <c r="L4" t="s">
        <v>23</v>
      </c>
      <c r="M4" t="s">
        <v>633</v>
      </c>
      <c r="N4" t="s">
        <v>441</v>
      </c>
      <c r="O4" t="s">
        <v>24</v>
      </c>
      <c r="P4" t="s">
        <v>552</v>
      </c>
      <c r="Q4" t="s">
        <v>26</v>
      </c>
      <c r="R4" t="s">
        <v>553</v>
      </c>
      <c r="S4" t="s">
        <v>483</v>
      </c>
      <c r="T4" t="s">
        <v>26</v>
      </c>
      <c r="U4" t="s">
        <v>26</v>
      </c>
      <c r="V4" t="s">
        <v>481</v>
      </c>
      <c r="W4" t="s">
        <v>378</v>
      </c>
      <c r="X4" t="s">
        <v>19</v>
      </c>
      <c r="Y4" t="s">
        <v>24</v>
      </c>
      <c r="Z4" t="s">
        <v>633</v>
      </c>
      <c r="AA4" t="s">
        <v>19</v>
      </c>
      <c r="AB4" t="s">
        <v>19</v>
      </c>
      <c r="AC4" t="s">
        <v>26</v>
      </c>
      <c r="AD4" t="s">
        <v>24</v>
      </c>
      <c r="AE4" t="s">
        <v>24</v>
      </c>
      <c r="AF4" t="s">
        <v>478</v>
      </c>
      <c r="AG4" t="s">
        <v>73</v>
      </c>
      <c r="AH4" t="s">
        <v>19</v>
      </c>
      <c r="AI4" t="s">
        <v>16</v>
      </c>
      <c r="AJ4" t="s">
        <v>70</v>
      </c>
      <c r="AK4" t="s">
        <v>67</v>
      </c>
      <c r="AL4" t="s">
        <v>25</v>
      </c>
      <c r="AM4" t="s">
        <v>38</v>
      </c>
      <c r="AN4" t="s">
        <v>483</v>
      </c>
      <c r="AO4" t="s">
        <v>11</v>
      </c>
      <c r="AP4" t="s">
        <v>376</v>
      </c>
      <c r="AQ4" t="s">
        <v>376</v>
      </c>
      <c r="AR4" t="s">
        <v>38</v>
      </c>
      <c r="AS4" t="s">
        <v>552</v>
      </c>
      <c r="AT4" t="s">
        <v>25</v>
      </c>
      <c r="AU4" t="s">
        <v>378</v>
      </c>
      <c r="AV4" t="s">
        <v>378</v>
      </c>
      <c r="AW4" t="s">
        <v>91</v>
      </c>
      <c r="AX4" t="s">
        <v>19</v>
      </c>
      <c r="AY4" t="s">
        <v>552</v>
      </c>
      <c r="AZ4" t="s">
        <v>23</v>
      </c>
      <c r="BA4" t="s">
        <v>378</v>
      </c>
      <c r="BB4" t="s">
        <v>552</v>
      </c>
      <c r="BC4" t="s">
        <v>13</v>
      </c>
      <c r="BD4" t="s">
        <v>16</v>
      </c>
      <c r="BE4" t="s">
        <v>483</v>
      </c>
      <c r="BF4" t="s">
        <v>23</v>
      </c>
      <c r="BG4" t="s">
        <v>13</v>
      </c>
      <c r="BH4" t="s">
        <v>13</v>
      </c>
      <c r="BI4" t="s">
        <v>13</v>
      </c>
      <c r="BJ4" t="s">
        <v>13</v>
      </c>
      <c r="BK4" t="s">
        <v>552</v>
      </c>
      <c r="BL4" t="s">
        <v>13</v>
      </c>
      <c r="BM4" t="s">
        <v>552</v>
      </c>
      <c r="BN4" t="s">
        <v>13</v>
      </c>
      <c r="BO4" t="s">
        <v>376</v>
      </c>
      <c r="BP4" t="s">
        <v>483</v>
      </c>
      <c r="BQ4" t="s">
        <v>481</v>
      </c>
      <c r="BR4" t="s">
        <v>13</v>
      </c>
      <c r="BS4" t="s">
        <v>13</v>
      </c>
      <c r="BT4" t="s">
        <v>552</v>
      </c>
      <c r="BU4" t="s">
        <v>441</v>
      </c>
      <c r="BV4" t="s">
        <v>23</v>
      </c>
      <c r="BW4" t="s">
        <v>378</v>
      </c>
      <c r="BX4" t="s">
        <v>552</v>
      </c>
      <c r="BY4" t="s">
        <v>378</v>
      </c>
      <c r="BZ4" t="s">
        <v>23</v>
      </c>
      <c r="CA4" t="s">
        <v>483</v>
      </c>
      <c r="CB4" t="s">
        <v>34</v>
      </c>
      <c r="CC4" t="s">
        <v>36</v>
      </c>
      <c r="CD4" t="s">
        <v>24</v>
      </c>
    </row>
    <row r="5" spans="1:82" x14ac:dyDescent="0.2">
      <c r="A5" t="s">
        <v>554</v>
      </c>
      <c r="B5">
        <f>VLOOKUP(A5,'Begr.-Rechner int. Prod.'!$A$4:$I$59,3,0)</f>
        <v>170</v>
      </c>
      <c r="C5" t="str">
        <f>VLOOKUP(A5,'Begr.-Rechner int. Prod.'!A7:I62,9,0)</f>
        <v>Leguminose</v>
      </c>
      <c r="D5" t="s">
        <v>554</v>
      </c>
      <c r="E5" t="s">
        <v>70</v>
      </c>
      <c r="F5" t="s">
        <v>483</v>
      </c>
      <c r="G5" t="s">
        <v>26</v>
      </c>
      <c r="H5" t="s">
        <v>16</v>
      </c>
      <c r="I5" t="s">
        <v>69</v>
      </c>
      <c r="J5" t="s">
        <v>557</v>
      </c>
      <c r="K5" t="s">
        <v>214</v>
      </c>
      <c r="L5" t="s">
        <v>552</v>
      </c>
      <c r="N5" t="s">
        <v>552</v>
      </c>
      <c r="O5" t="s">
        <v>26</v>
      </c>
      <c r="Q5" t="s">
        <v>34</v>
      </c>
      <c r="R5" t="s">
        <v>561</v>
      </c>
      <c r="S5" t="s">
        <v>25</v>
      </c>
      <c r="V5" t="s">
        <v>1059</v>
      </c>
      <c r="W5" t="s">
        <v>552</v>
      </c>
      <c r="X5" t="s">
        <v>552</v>
      </c>
      <c r="AA5" t="s">
        <v>24</v>
      </c>
      <c r="AB5" t="s">
        <v>24</v>
      </c>
      <c r="AC5" t="s">
        <v>481</v>
      </c>
      <c r="AD5" t="s">
        <v>26</v>
      </c>
      <c r="AE5" t="s">
        <v>26</v>
      </c>
      <c r="AF5" t="s">
        <v>481</v>
      </c>
      <c r="AG5" t="s">
        <v>478</v>
      </c>
      <c r="AH5" t="s">
        <v>21</v>
      </c>
      <c r="AI5" t="s">
        <v>558</v>
      </c>
      <c r="AJ5" t="s">
        <v>16</v>
      </c>
      <c r="AK5" t="s">
        <v>16</v>
      </c>
      <c r="AL5" t="s">
        <v>38</v>
      </c>
      <c r="AN5" t="s">
        <v>25</v>
      </c>
      <c r="AO5" t="s">
        <v>25</v>
      </c>
      <c r="AP5" t="s">
        <v>41</v>
      </c>
      <c r="AQ5" t="s">
        <v>41</v>
      </c>
      <c r="AS5" t="s">
        <v>24</v>
      </c>
      <c r="AT5" t="s">
        <v>29</v>
      </c>
      <c r="AU5" t="s">
        <v>23</v>
      </c>
      <c r="AV5" t="s">
        <v>552</v>
      </c>
      <c r="AW5" t="s">
        <v>26</v>
      </c>
      <c r="AX5" t="s">
        <v>24</v>
      </c>
      <c r="AY5" t="s">
        <v>24</v>
      </c>
      <c r="AZ5" t="s">
        <v>552</v>
      </c>
      <c r="BA5" t="s">
        <v>486</v>
      </c>
      <c r="BB5" t="s">
        <v>483</v>
      </c>
      <c r="BC5" t="s">
        <v>69</v>
      </c>
      <c r="BD5" t="s">
        <v>19</v>
      </c>
      <c r="BE5" t="s">
        <v>26</v>
      </c>
      <c r="BF5" t="s">
        <v>552</v>
      </c>
      <c r="BG5" t="s">
        <v>69</v>
      </c>
      <c r="BH5" t="s">
        <v>16</v>
      </c>
      <c r="BI5" t="s">
        <v>23</v>
      </c>
      <c r="BJ5" t="s">
        <v>552</v>
      </c>
      <c r="BK5" t="s">
        <v>483</v>
      </c>
      <c r="BL5" t="s">
        <v>552</v>
      </c>
      <c r="BM5" t="s">
        <v>483</v>
      </c>
      <c r="BN5" t="s">
        <v>552</v>
      </c>
      <c r="BO5" t="s">
        <v>30</v>
      </c>
      <c r="BP5" t="s">
        <v>24</v>
      </c>
      <c r="BQ5" t="s">
        <v>214</v>
      </c>
      <c r="BR5" t="s">
        <v>26</v>
      </c>
      <c r="BS5" t="s">
        <v>483</v>
      </c>
      <c r="BT5" t="s">
        <v>24</v>
      </c>
      <c r="BU5" t="s">
        <v>552</v>
      </c>
      <c r="BV5" t="s">
        <v>552</v>
      </c>
      <c r="BW5" t="s">
        <v>482</v>
      </c>
      <c r="BX5" t="s">
        <v>26</v>
      </c>
      <c r="BY5" t="s">
        <v>23</v>
      </c>
      <c r="BZ5" t="s">
        <v>25</v>
      </c>
      <c r="CA5" t="s">
        <v>26</v>
      </c>
      <c r="CD5" t="s">
        <v>26</v>
      </c>
    </row>
    <row r="6" spans="1:82" x14ac:dyDescent="0.2">
      <c r="A6" t="s">
        <v>10</v>
      </c>
      <c r="B6">
        <f>VLOOKUP(A6,'Begr.-Rechner int. Prod.'!$A$4:$I$59,3,0)</f>
        <v>70</v>
      </c>
      <c r="C6" t="str">
        <f>VLOOKUP(A6,'Begr.-Rechner int. Prod.'!A8:I63,9,0)</f>
        <v>Knöterichgewächse</v>
      </c>
      <c r="D6" t="s">
        <v>10</v>
      </c>
      <c r="E6" t="s">
        <v>16</v>
      </c>
      <c r="F6" t="s">
        <v>478</v>
      </c>
      <c r="G6" t="s">
        <v>92</v>
      </c>
      <c r="H6" t="s">
        <v>376</v>
      </c>
      <c r="I6" t="s">
        <v>16</v>
      </c>
      <c r="J6" t="s">
        <v>565</v>
      </c>
      <c r="K6" t="s">
        <v>37</v>
      </c>
      <c r="L6" t="s">
        <v>27</v>
      </c>
      <c r="N6" t="s">
        <v>483</v>
      </c>
      <c r="S6" t="s">
        <v>26</v>
      </c>
      <c r="W6" t="s">
        <v>26</v>
      </c>
      <c r="X6" t="s">
        <v>483</v>
      </c>
      <c r="AA6" t="s">
        <v>26</v>
      </c>
      <c r="AB6" t="s">
        <v>26</v>
      </c>
      <c r="AC6" t="s">
        <v>273</v>
      </c>
      <c r="AD6" t="s">
        <v>38</v>
      </c>
      <c r="AE6" t="s">
        <v>38</v>
      </c>
      <c r="AF6" t="s">
        <v>556</v>
      </c>
      <c r="AG6" t="s">
        <v>481</v>
      </c>
      <c r="AH6" t="s">
        <v>26</v>
      </c>
      <c r="AI6" t="s">
        <v>19</v>
      </c>
      <c r="AJ6" t="s">
        <v>378</v>
      </c>
      <c r="AK6" t="s">
        <v>558</v>
      </c>
      <c r="AN6" t="s">
        <v>478</v>
      </c>
      <c r="AS6" t="s">
        <v>26</v>
      </c>
      <c r="AT6" t="s">
        <v>481</v>
      </c>
      <c r="AU6" t="s">
        <v>24</v>
      </c>
      <c r="AV6" t="s">
        <v>26</v>
      </c>
      <c r="AW6" t="s">
        <v>633</v>
      </c>
      <c r="AX6" t="s">
        <v>26</v>
      </c>
      <c r="AY6" t="s">
        <v>26</v>
      </c>
      <c r="AZ6" t="s">
        <v>24</v>
      </c>
      <c r="BA6" t="s">
        <v>552</v>
      </c>
      <c r="BC6" t="s">
        <v>552</v>
      </c>
      <c r="BD6" t="s">
        <v>23</v>
      </c>
      <c r="BE6" t="s">
        <v>481</v>
      </c>
      <c r="BF6" t="s">
        <v>483</v>
      </c>
      <c r="BG6" t="s">
        <v>19</v>
      </c>
      <c r="BH6" t="s">
        <v>23</v>
      </c>
      <c r="BI6" t="s">
        <v>552</v>
      </c>
      <c r="BJ6" t="s">
        <v>483</v>
      </c>
      <c r="BK6" t="s">
        <v>25</v>
      </c>
      <c r="BL6" t="s">
        <v>483</v>
      </c>
      <c r="BM6" t="s">
        <v>26</v>
      </c>
      <c r="BN6" t="s">
        <v>24</v>
      </c>
      <c r="BO6" t="s">
        <v>33</v>
      </c>
      <c r="BP6" t="s">
        <v>26</v>
      </c>
      <c r="BQ6" t="s">
        <v>37</v>
      </c>
      <c r="BR6" t="s">
        <v>478</v>
      </c>
      <c r="BS6" t="s">
        <v>24</v>
      </c>
      <c r="BT6" t="s">
        <v>26</v>
      </c>
      <c r="BU6" t="s">
        <v>24</v>
      </c>
      <c r="BV6" t="s">
        <v>26</v>
      </c>
      <c r="BX6" t="s">
        <v>478</v>
      </c>
      <c r="BY6" t="s">
        <v>24</v>
      </c>
      <c r="CA6" t="s">
        <v>380</v>
      </c>
      <c r="CD6" t="s">
        <v>478</v>
      </c>
    </row>
    <row r="7" spans="1:82" x14ac:dyDescent="0.2">
      <c r="A7" t="s">
        <v>485</v>
      </c>
      <c r="B7">
        <f>VLOOKUP(A7,'Begr.-Rechner int. Prod.'!$A$4:$I$59,3,0)</f>
        <v>40</v>
      </c>
      <c r="C7" t="str">
        <f>VLOOKUP(A7,'Begr.-Rechner int. Prod.'!A9:I64,9,0)</f>
        <v>Gräser</v>
      </c>
      <c r="D7" t="s">
        <v>485</v>
      </c>
      <c r="E7" t="s">
        <v>19</v>
      </c>
      <c r="F7" t="s">
        <v>92</v>
      </c>
      <c r="G7" t="s">
        <v>37</v>
      </c>
      <c r="I7" t="s">
        <v>558</v>
      </c>
      <c r="L7" t="s">
        <v>478</v>
      </c>
      <c r="N7" t="s">
        <v>25</v>
      </c>
      <c r="S7" t="s">
        <v>37</v>
      </c>
      <c r="X7" t="s">
        <v>24</v>
      </c>
      <c r="AA7" t="s">
        <v>478</v>
      </c>
      <c r="AB7" t="s">
        <v>478</v>
      </c>
      <c r="AD7" t="s">
        <v>41</v>
      </c>
      <c r="AE7" t="s">
        <v>41</v>
      </c>
      <c r="AF7" t="s">
        <v>557</v>
      </c>
      <c r="AG7" t="s">
        <v>556</v>
      </c>
      <c r="AH7" t="s">
        <v>30</v>
      </c>
      <c r="AI7" t="s">
        <v>21</v>
      </c>
      <c r="AJ7" t="s">
        <v>558</v>
      </c>
      <c r="AK7" t="s">
        <v>19</v>
      </c>
      <c r="AS7" t="s">
        <v>481</v>
      </c>
      <c r="AT7" t="s">
        <v>633</v>
      </c>
      <c r="AU7" t="s">
        <v>26</v>
      </c>
      <c r="AV7" t="s">
        <v>34</v>
      </c>
      <c r="AZ7" t="s">
        <v>26</v>
      </c>
      <c r="BA7" t="s">
        <v>24</v>
      </c>
      <c r="BC7" t="s">
        <v>483</v>
      </c>
      <c r="BD7" t="s">
        <v>483</v>
      </c>
      <c r="BE7" t="s">
        <v>214</v>
      </c>
      <c r="BF7" t="s">
        <v>26</v>
      </c>
      <c r="BG7" t="s">
        <v>23</v>
      </c>
      <c r="BH7" t="s">
        <v>552</v>
      </c>
      <c r="BI7" t="s">
        <v>483</v>
      </c>
      <c r="BJ7" t="s">
        <v>26</v>
      </c>
      <c r="BK7" t="s">
        <v>478</v>
      </c>
      <c r="BL7" t="s">
        <v>25</v>
      </c>
      <c r="BM7" t="s">
        <v>478</v>
      </c>
      <c r="BN7" t="s">
        <v>25</v>
      </c>
      <c r="BO7" t="s">
        <v>41</v>
      </c>
      <c r="BP7" t="s">
        <v>481</v>
      </c>
      <c r="BR7" t="s">
        <v>481</v>
      </c>
      <c r="BS7" t="s">
        <v>478</v>
      </c>
      <c r="BT7" t="s">
        <v>478</v>
      </c>
      <c r="BU7" t="s">
        <v>26</v>
      </c>
      <c r="BV7" t="s">
        <v>478</v>
      </c>
      <c r="BY7" t="s">
        <v>25</v>
      </c>
      <c r="CA7" t="s">
        <v>482</v>
      </c>
      <c r="CD7" t="s">
        <v>214</v>
      </c>
    </row>
    <row r="8" spans="1:82" x14ac:dyDescent="0.2">
      <c r="A8" t="s">
        <v>685</v>
      </c>
      <c r="B8">
        <f>VLOOKUP(A8,'Begr.-Rechner int. Prod.'!$A$4:$I$59,3,0)</f>
        <v>25</v>
      </c>
      <c r="C8" t="str">
        <f>VLOOKUP(A8,'Begr.-Rechner int. Prod.'!A10:I65,9,0)</f>
        <v>Gräser</v>
      </c>
      <c r="D8" t="s">
        <v>685</v>
      </c>
      <c r="E8" t="s">
        <v>21</v>
      </c>
      <c r="F8" t="s">
        <v>37</v>
      </c>
      <c r="G8" t="s">
        <v>553</v>
      </c>
      <c r="I8" t="s">
        <v>19</v>
      </c>
      <c r="L8" t="s">
        <v>92</v>
      </c>
      <c r="X8" t="s">
        <v>25</v>
      </c>
      <c r="AA8" t="s">
        <v>34</v>
      </c>
      <c r="AB8" t="s">
        <v>34</v>
      </c>
      <c r="AD8" t="s">
        <v>555</v>
      </c>
      <c r="AE8" t="s">
        <v>555</v>
      </c>
      <c r="AH8" t="s">
        <v>38</v>
      </c>
      <c r="AI8" t="s">
        <v>30</v>
      </c>
      <c r="AJ8" t="s">
        <v>19</v>
      </c>
      <c r="AK8" t="s">
        <v>21</v>
      </c>
      <c r="AS8" t="s">
        <v>1059</v>
      </c>
      <c r="AT8" t="s">
        <v>569</v>
      </c>
      <c r="AU8" t="s">
        <v>34</v>
      </c>
      <c r="BC8" t="s">
        <v>478</v>
      </c>
      <c r="BD8" t="s">
        <v>481</v>
      </c>
      <c r="BF8" t="s">
        <v>481</v>
      </c>
      <c r="BG8" t="s">
        <v>552</v>
      </c>
      <c r="BH8" t="s">
        <v>483</v>
      </c>
      <c r="BI8" t="s">
        <v>26</v>
      </c>
      <c r="BJ8" t="s">
        <v>478</v>
      </c>
      <c r="BK8" t="s">
        <v>481</v>
      </c>
      <c r="BL8" t="s">
        <v>478</v>
      </c>
      <c r="BM8" t="s">
        <v>214</v>
      </c>
      <c r="BN8" t="s">
        <v>478</v>
      </c>
      <c r="BP8" t="s">
        <v>34</v>
      </c>
      <c r="BR8" t="s">
        <v>595</v>
      </c>
      <c r="BS8" t="s">
        <v>481</v>
      </c>
      <c r="BT8" t="s">
        <v>481</v>
      </c>
      <c r="BU8" t="s">
        <v>478</v>
      </c>
      <c r="BV8" t="s">
        <v>34</v>
      </c>
      <c r="BY8" t="s">
        <v>26</v>
      </c>
      <c r="CA8" t="s">
        <v>41</v>
      </c>
    </row>
    <row r="9" spans="1:82" x14ac:dyDescent="0.2">
      <c r="A9" t="s">
        <v>66</v>
      </c>
      <c r="B9">
        <f>VLOOKUP(A9,'Begr.-Rechner int. Prod.'!$A$4:$I$59,3,0)</f>
        <v>180</v>
      </c>
      <c r="C9" t="str">
        <f>VLOOKUP(A9,'Begr.-Rechner int. Prod.'!A11:I66,9,0)</f>
        <v>Leguminose</v>
      </c>
      <c r="D9" t="s">
        <v>66</v>
      </c>
      <c r="E9" t="s">
        <v>483</v>
      </c>
      <c r="I9" t="s">
        <v>21</v>
      </c>
      <c r="L9" t="s">
        <v>37</v>
      </c>
      <c r="X9" t="s">
        <v>26</v>
      </c>
      <c r="AI9" t="s">
        <v>34</v>
      </c>
      <c r="AJ9" t="s">
        <v>21</v>
      </c>
      <c r="AK9" t="s">
        <v>26</v>
      </c>
      <c r="AS9" t="s">
        <v>482</v>
      </c>
      <c r="BD9" t="s">
        <v>41</v>
      </c>
      <c r="BF9" t="s">
        <v>34</v>
      </c>
      <c r="BG9" t="s">
        <v>483</v>
      </c>
      <c r="BH9" t="s">
        <v>25</v>
      </c>
      <c r="BI9" t="s">
        <v>478</v>
      </c>
      <c r="BJ9" t="s">
        <v>481</v>
      </c>
      <c r="BK9" t="s">
        <v>595</v>
      </c>
      <c r="BL9" t="s">
        <v>481</v>
      </c>
      <c r="BM9" t="s">
        <v>37</v>
      </c>
      <c r="BP9" t="s">
        <v>214</v>
      </c>
      <c r="BS9" t="s">
        <v>214</v>
      </c>
      <c r="BY9" t="s">
        <v>478</v>
      </c>
    </row>
    <row r="10" spans="1:82" x14ac:dyDescent="0.2">
      <c r="A10" t="s">
        <v>13</v>
      </c>
      <c r="B10">
        <f>VLOOKUP(A10,'Begr.-Rechner int. Prod.'!$A$4:$I$59,3,0)</f>
        <v>160</v>
      </c>
      <c r="C10" t="str">
        <f>VLOOKUP(A10,'Begr.-Rechner int. Prod.'!A12:I67,9,0)</f>
        <v>Leguminose</v>
      </c>
      <c r="D10" t="s">
        <v>734</v>
      </c>
      <c r="E10" t="s">
        <v>26</v>
      </c>
      <c r="I10" t="s">
        <v>483</v>
      </c>
      <c r="X10" t="s">
        <v>478</v>
      </c>
      <c r="AI10" t="s">
        <v>38</v>
      </c>
      <c r="AJ10" t="s">
        <v>26</v>
      </c>
      <c r="AK10" t="s">
        <v>29</v>
      </c>
      <c r="BD10" t="s">
        <v>562</v>
      </c>
      <c r="BF10" t="s">
        <v>214</v>
      </c>
      <c r="BG10" t="s">
        <v>26</v>
      </c>
      <c r="BH10" t="s">
        <v>26</v>
      </c>
      <c r="BI10" t="s">
        <v>481</v>
      </c>
      <c r="BJ10" t="s">
        <v>595</v>
      </c>
      <c r="BL10" t="s">
        <v>595</v>
      </c>
      <c r="BM10" t="s">
        <v>595</v>
      </c>
      <c r="BP10" t="s">
        <v>37</v>
      </c>
      <c r="BS10" t="s">
        <v>595</v>
      </c>
      <c r="BY10" t="s">
        <v>34</v>
      </c>
    </row>
    <row r="11" spans="1:82" x14ac:dyDescent="0.2">
      <c r="A11" t="s">
        <v>67</v>
      </c>
      <c r="B11">
        <f>VLOOKUP(A11,'Begr.-Rechner int. Prod.'!$A$4:$I$59,3,0)</f>
        <v>3</v>
      </c>
      <c r="C11" t="str">
        <f>VLOOKUP(A11,'Begr.-Rechner int. Prod.'!A13:I68,9,0)</f>
        <v>Kreuzblütler</v>
      </c>
      <c r="D11" t="s">
        <v>735</v>
      </c>
      <c r="E11" t="s">
        <v>30</v>
      </c>
      <c r="I11" t="s">
        <v>30</v>
      </c>
      <c r="X11" t="s">
        <v>481</v>
      </c>
      <c r="AJ11" t="s">
        <v>29</v>
      </c>
      <c r="AK11" t="s">
        <v>30</v>
      </c>
      <c r="BG11" t="s">
        <v>478</v>
      </c>
      <c r="BH11" t="s">
        <v>30</v>
      </c>
      <c r="BI11" t="s">
        <v>595</v>
      </c>
    </row>
    <row r="12" spans="1:82" x14ac:dyDescent="0.2">
      <c r="A12" t="s">
        <v>14</v>
      </c>
      <c r="B12">
        <f>VLOOKUP(A12,'Begr.-Rechner int. Prod.'!$A$4:$I$59,3,0)</f>
        <v>30</v>
      </c>
      <c r="C12" t="str">
        <f>VLOOKUP(A12,'Begr.-Rechner int. Prod.'!A14:I69,9,0)</f>
        <v>Leguminose</v>
      </c>
      <c r="D12" t="s">
        <v>14</v>
      </c>
      <c r="E12" t="s">
        <v>34</v>
      </c>
      <c r="I12" t="s">
        <v>33</v>
      </c>
      <c r="X12" t="s">
        <v>214</v>
      </c>
      <c r="AJ12" t="s">
        <v>30</v>
      </c>
      <c r="AK12" t="s">
        <v>33</v>
      </c>
      <c r="BG12" t="s">
        <v>481</v>
      </c>
      <c r="BH12" t="s">
        <v>478</v>
      </c>
    </row>
    <row r="13" spans="1:82" x14ac:dyDescent="0.2">
      <c r="A13" t="s">
        <v>15</v>
      </c>
      <c r="B13">
        <f>VLOOKUP(A13,'Begr.-Rechner int. Prod.'!$A$4:$I$59,3,0)</f>
        <v>150</v>
      </c>
      <c r="C13" t="str">
        <f>VLOOKUP(A13,'Begr.-Rechner int. Prod.'!A15:I70,9,0)</f>
        <v>Gräser</v>
      </c>
      <c r="D13" t="s">
        <v>738</v>
      </c>
      <c r="E13" t="s">
        <v>380</v>
      </c>
      <c r="I13" t="s">
        <v>34</v>
      </c>
      <c r="AJ13" t="s">
        <v>34</v>
      </c>
      <c r="AK13" t="s">
        <v>36</v>
      </c>
      <c r="BG13" t="s">
        <v>214</v>
      </c>
      <c r="BH13" t="s">
        <v>33</v>
      </c>
    </row>
    <row r="14" spans="1:82" x14ac:dyDescent="0.2">
      <c r="A14" t="s">
        <v>645</v>
      </c>
      <c r="B14">
        <f>VLOOKUP(A14,'Begr.-Rechner int. Prod.'!$A$4:$I$59,3,0)</f>
        <v>70</v>
      </c>
      <c r="C14" t="str">
        <f>VLOOKUP(A14,'Begr.-Rechner int. Prod.'!A16:I71,9,0)</f>
        <v>Gräser</v>
      </c>
      <c r="D14" t="s">
        <v>645</v>
      </c>
      <c r="E14" t="s">
        <v>38</v>
      </c>
      <c r="I14" t="s">
        <v>214</v>
      </c>
      <c r="AJ14" t="s">
        <v>214</v>
      </c>
      <c r="AK14" t="s">
        <v>41</v>
      </c>
      <c r="BH14" t="s">
        <v>214</v>
      </c>
    </row>
    <row r="15" spans="1:82" x14ac:dyDescent="0.2">
      <c r="A15" t="s">
        <v>68</v>
      </c>
      <c r="B15">
        <f>VLOOKUP(A15,'Begr.-Rechner int. Prod.'!$A$4:$I$59,3,0)</f>
        <v>2</v>
      </c>
      <c r="C15" t="str">
        <f>VLOOKUP(A15,'Begr.-Rechner int. Prod.'!A17:I72,9,0)</f>
        <v>Kreuzblütler</v>
      </c>
      <c r="D15" t="s">
        <v>736</v>
      </c>
      <c r="E15" t="s">
        <v>385</v>
      </c>
      <c r="I15" t="s">
        <v>443</v>
      </c>
      <c r="AJ15" t="s">
        <v>38</v>
      </c>
      <c r="AK15" t="s">
        <v>555</v>
      </c>
      <c r="BH15" t="s">
        <v>37</v>
      </c>
    </row>
    <row r="16" spans="1:82" x14ac:dyDescent="0.2">
      <c r="A16" t="s">
        <v>69</v>
      </c>
      <c r="B16">
        <f>VLOOKUP(A16,'Begr.-Rechner int. Prod.'!$A$4:$I$59,3,0)</f>
        <v>15</v>
      </c>
      <c r="C16" t="str">
        <f>VLOOKUP(A16,'Begr.-Rechner int. Prod.'!A18:I73,9,0)</f>
        <v>Gräser</v>
      </c>
      <c r="D16" t="s">
        <v>69</v>
      </c>
      <c r="E16" t="s">
        <v>559</v>
      </c>
      <c r="I16" t="s">
        <v>38</v>
      </c>
      <c r="AJ16" t="s">
        <v>559</v>
      </c>
      <c r="AK16" t="s">
        <v>559</v>
      </c>
      <c r="BH16" t="s">
        <v>38</v>
      </c>
    </row>
    <row r="17" spans="1:60" x14ac:dyDescent="0.2">
      <c r="A17" t="s">
        <v>70</v>
      </c>
      <c r="B17">
        <f>VLOOKUP(A17,'Begr.-Rechner int. Prod.'!$A$4:$I$59,3,0)</f>
        <v>20</v>
      </c>
      <c r="C17" t="str">
        <f>VLOOKUP(A17,'Begr.-Rechner int. Prod.'!A19:I74,9,0)</f>
        <v>Leguminose</v>
      </c>
      <c r="D17" t="s">
        <v>70</v>
      </c>
      <c r="E17" t="s">
        <v>560</v>
      </c>
      <c r="I17" t="s">
        <v>482</v>
      </c>
      <c r="AJ17" t="s">
        <v>560</v>
      </c>
      <c r="AK17" t="s">
        <v>273</v>
      </c>
      <c r="BH17" t="s">
        <v>41</v>
      </c>
    </row>
    <row r="18" spans="1:60" x14ac:dyDescent="0.2">
      <c r="A18" t="s">
        <v>16</v>
      </c>
      <c r="B18">
        <f>VLOOKUP(A18,'Begr.-Rechner int. Prod.'!$A$4:$I$59,3,0)</f>
        <v>30</v>
      </c>
      <c r="C18" t="str">
        <f>VLOOKUP(A18,'Begr.-Rechner int. Prod.'!A20:I75,9,0)</f>
        <v>Leguminose</v>
      </c>
      <c r="D18" t="s">
        <v>16</v>
      </c>
      <c r="I18" t="s">
        <v>559</v>
      </c>
      <c r="AJ18" t="s">
        <v>566</v>
      </c>
      <c r="AK18" t="s">
        <v>566</v>
      </c>
      <c r="BH18" t="s">
        <v>595</v>
      </c>
    </row>
    <row r="19" spans="1:60" x14ac:dyDescent="0.2">
      <c r="A19" t="s">
        <v>185</v>
      </c>
      <c r="B19">
        <f>VLOOKUP(A19,'Begr.-Rechner int. Prod.'!$A$4:$I$59,3,0)</f>
        <v>40</v>
      </c>
      <c r="C19" t="str">
        <f>VLOOKUP(A19,'Begr.-Rechner int. Prod.'!A21:I76,9,0)</f>
        <v>Gräser</v>
      </c>
      <c r="D19" t="s">
        <v>185</v>
      </c>
      <c r="I19" t="s">
        <v>560</v>
      </c>
    </row>
    <row r="20" spans="1:60" x14ac:dyDescent="0.2">
      <c r="A20" t="s">
        <v>378</v>
      </c>
      <c r="B20">
        <f>VLOOKUP(A20,'Begr.-Rechner int. Prod.'!$A$4:$I$59,3,0)</f>
        <v>10</v>
      </c>
      <c r="C20" t="str">
        <f>VLOOKUP(A20,'Begr.-Rechner int. Prod.'!A22:I77,9,0)</f>
        <v>Kreuzblütler</v>
      </c>
      <c r="D20" t="s">
        <v>378</v>
      </c>
      <c r="I20" t="s">
        <v>562</v>
      </c>
    </row>
    <row r="21" spans="1:60" x14ac:dyDescent="0.2">
      <c r="A21" t="s">
        <v>486</v>
      </c>
      <c r="B21">
        <f>VLOOKUP(A21,'Begr.-Rechner int. Prod.'!$A$4:$I$59,3,0)</f>
        <v>30</v>
      </c>
      <c r="C21" t="str">
        <f>VLOOKUP(A21,'Begr.-Rechner int. Prod.'!A23:I78,9,0)</f>
        <v>Leguminose</v>
      </c>
      <c r="D21" t="s">
        <v>486</v>
      </c>
      <c r="I21" t="s">
        <v>563</v>
      </c>
    </row>
    <row r="22" spans="1:60" x14ac:dyDescent="0.2">
      <c r="A22" t="s">
        <v>558</v>
      </c>
      <c r="B22">
        <f>VLOOKUP(A22,'Begr.-Rechner int. Prod.'!$A$4:$I$59,3,0)</f>
        <v>12</v>
      </c>
      <c r="C22" t="str">
        <f>VLOOKUP(A22,'Begr.-Rechner int. Prod.'!A24:I79,9,0)</f>
        <v>Malvengewächse</v>
      </c>
      <c r="D22" t="s">
        <v>558</v>
      </c>
      <c r="I22" t="s">
        <v>564</v>
      </c>
    </row>
    <row r="23" spans="1:60" x14ac:dyDescent="0.2">
      <c r="A23" t="s">
        <v>19</v>
      </c>
      <c r="B23">
        <f>VLOOKUP(A23,'Begr.-Rechner int. Prod.'!$A$4:$I$59,3,0)</f>
        <v>10</v>
      </c>
      <c r="C23" t="str">
        <f>VLOOKUP(A23,'Begr.-Rechner int. Prod.'!A25:I80,9,0)</f>
        <v>Kreuzblütler</v>
      </c>
      <c r="D23" t="s">
        <v>19</v>
      </c>
    </row>
    <row r="24" spans="1:60" x14ac:dyDescent="0.2">
      <c r="A24" t="s">
        <v>441</v>
      </c>
      <c r="B24">
        <f>VLOOKUP(A24,'Begr.-Rechner int. Prod.'!$A$4:$I$59,3,0)</f>
        <v>80</v>
      </c>
      <c r="C24" t="str">
        <f>VLOOKUP(A24,'Begr.-Rechner int. Prod.'!A26:I81,9,0)</f>
        <v>Leguminose</v>
      </c>
      <c r="D24" t="s">
        <v>441</v>
      </c>
    </row>
    <row r="25" spans="1:60" x14ac:dyDescent="0.2">
      <c r="A25" t="s">
        <v>21</v>
      </c>
      <c r="B25">
        <f>VLOOKUP(A25,'Begr.-Rechner int. Prod.'!$A$4:$I$59,3,0)</f>
        <v>25</v>
      </c>
      <c r="C25" t="str">
        <f>VLOOKUP(A25,'Begr.-Rechner int. Prod.'!A27:I82,9,0)</f>
        <v>Leguminose</v>
      </c>
      <c r="D25" t="s">
        <v>21</v>
      </c>
    </row>
    <row r="26" spans="1:60" x14ac:dyDescent="0.2">
      <c r="A26" t="s">
        <v>23</v>
      </c>
      <c r="B26">
        <f>VLOOKUP(A26,'Begr.-Rechner int. Prod.'!$A$4:$I$59,3,0)</f>
        <v>7</v>
      </c>
      <c r="C26" t="str">
        <f>VLOOKUP(A26,'Begr.-Rechner int. Prod.'!A28:I83,9,0)</f>
        <v>Kreuzblütler</v>
      </c>
      <c r="D26" t="s">
        <v>23</v>
      </c>
    </row>
    <row r="27" spans="1:60" x14ac:dyDescent="0.2">
      <c r="A27" t="s">
        <v>637</v>
      </c>
      <c r="B27">
        <f>VLOOKUP(A27,'Begr.-Rechner int. Prod.'!$A$4:$I$59,3,0)</f>
        <v>10</v>
      </c>
      <c r="C27" t="str">
        <f>VLOOKUP(A27,'Begr.-Rechner int. Prod.'!A29:I84,9,0)</f>
        <v>Korbblütler</v>
      </c>
      <c r="D27" t="s">
        <v>637</v>
      </c>
    </row>
    <row r="28" spans="1:60" x14ac:dyDescent="0.2">
      <c r="A28" t="s">
        <v>483</v>
      </c>
      <c r="B28">
        <f>VLOOKUP(A28,'Begr.-Rechner int. Prod.'!$A$4:$I$59,3,0)</f>
        <v>30</v>
      </c>
      <c r="C28" t="str">
        <f>VLOOKUP(A28,'Begr.-Rechner int. Prod.'!A30:I85,9,0)</f>
        <v>Leingewächse</v>
      </c>
      <c r="D28" t="s">
        <v>483</v>
      </c>
    </row>
    <row r="29" spans="1:60" x14ac:dyDescent="0.2">
      <c r="A29" t="s">
        <v>24</v>
      </c>
      <c r="B29">
        <f>VLOOKUP(A29,'Begr.-Rechner int. Prod.'!$A$4:$I$59,3,0)</f>
        <v>20</v>
      </c>
      <c r="C29" t="str">
        <f>VLOOKUP(A29,'Begr.-Rechner int. Prod.'!A31:I86,9,0)</f>
        <v>Kreuzblütler</v>
      </c>
      <c r="D29" t="s">
        <v>24</v>
      </c>
    </row>
    <row r="30" spans="1:60" x14ac:dyDescent="0.2">
      <c r="A30" t="s">
        <v>91</v>
      </c>
      <c r="B30">
        <f>VLOOKUP(A30,'Begr.-Rechner int. Prod.'!$A$4:$I$59,3,0)</f>
        <v>25</v>
      </c>
      <c r="C30" t="str">
        <f>VLOOKUP(A30,'Begr.-Rechner int. Prod.'!A32:I87,9,0)</f>
        <v>Kreuzblütler</v>
      </c>
      <c r="D30" t="s">
        <v>24</v>
      </c>
    </row>
    <row r="31" spans="1:60" x14ac:dyDescent="0.2">
      <c r="A31" t="s">
        <v>25</v>
      </c>
      <c r="B31">
        <f>VLOOKUP(A31,'Begr.-Rechner int. Prod.'!$A$4:$I$59,3,0)</f>
        <v>20</v>
      </c>
      <c r="C31" t="str">
        <f>VLOOKUP(A31,'Begr.-Rechner int. Prod.'!A33:I88,9,0)</f>
        <v>Leguminose</v>
      </c>
      <c r="D31" t="s">
        <v>25</v>
      </c>
    </row>
    <row r="32" spans="1:60" x14ac:dyDescent="0.2">
      <c r="A32" t="s">
        <v>646</v>
      </c>
      <c r="B32">
        <f>VLOOKUP(A32,'Begr.-Rechner int. Prod.'!$A$4:$I$59,3,0)</f>
        <v>12</v>
      </c>
      <c r="C32" t="str">
        <f>VLOOKUP(A32,'Begr.-Rechner int. Prod.'!A34:I89,9,0)</f>
        <v>Wasserblattgewächse</v>
      </c>
      <c r="D32" t="s">
        <v>646</v>
      </c>
    </row>
    <row r="33" spans="1:4" x14ac:dyDescent="0.2">
      <c r="A33" t="s">
        <v>27</v>
      </c>
      <c r="B33">
        <f>VLOOKUP(A33,'Begr.-Rechner int. Prod.'!$A$4:$I$59,3,0)</f>
        <v>140</v>
      </c>
      <c r="C33" t="str">
        <f>VLOOKUP(A33,'Begr.-Rechner int. Prod.'!A35:I90,9,0)</f>
        <v>Leguminose</v>
      </c>
      <c r="D33" t="s">
        <v>27</v>
      </c>
    </row>
    <row r="34" spans="1:4" x14ac:dyDescent="0.2">
      <c r="A34" t="s">
        <v>219</v>
      </c>
      <c r="B34">
        <f>VLOOKUP(A34,'Begr.-Rechner int. Prod.'!$A$4:$I$59,3,0)</f>
        <v>10</v>
      </c>
      <c r="C34" t="str">
        <f>VLOOKUP(A34,'Begr.-Rechner int. Prod.'!A36:I91,9,0)</f>
        <v>Korbblütler</v>
      </c>
      <c r="D34" t="s">
        <v>219</v>
      </c>
    </row>
    <row r="35" spans="1:4" x14ac:dyDescent="0.2">
      <c r="A35" t="s">
        <v>30</v>
      </c>
      <c r="B35">
        <f>VLOOKUP(A35,'Begr.-Rechner int. Prod.'!$A$4:$I$59,3,0)</f>
        <v>25</v>
      </c>
      <c r="C35" t="str">
        <f>VLOOKUP(A35,'Begr.-Rechner int. Prod.'!A37:I92,9,0)</f>
        <v>Leguminose</v>
      </c>
      <c r="D35" t="s">
        <v>30</v>
      </c>
    </row>
    <row r="36" spans="1:4" x14ac:dyDescent="0.2">
      <c r="A36" t="s">
        <v>73</v>
      </c>
      <c r="B36">
        <f>VLOOKUP(A36,'Begr.-Rechner int. Prod.'!$A$4:$I$59,3,0)</f>
        <v>110</v>
      </c>
      <c r="C36" t="str">
        <f>VLOOKUP(A36,'Begr.-Rechner int. Prod.'!A38:I93,9,0)</f>
        <v>Leguminose</v>
      </c>
      <c r="D36" t="s">
        <v>73</v>
      </c>
    </row>
    <row r="37" spans="1:4" x14ac:dyDescent="0.2">
      <c r="A37" t="s">
        <v>686</v>
      </c>
      <c r="B37">
        <f>VLOOKUP(A37,'Begr.-Rechner int. Prod.'!$A$4:$I$59,3,0)</f>
        <v>115</v>
      </c>
      <c r="C37" t="str">
        <f>VLOOKUP(A37,'Begr.-Rechner int. Prod.'!A39:I94,9,0)</f>
        <v>Leguminose</v>
      </c>
      <c r="D37" t="s">
        <v>737</v>
      </c>
    </row>
    <row r="38" spans="1:4" x14ac:dyDescent="0.2">
      <c r="A38" t="s">
        <v>92</v>
      </c>
      <c r="B38">
        <f>VLOOKUP(A38,'Begr.-Rechner int. Prod.'!$A$4:$I$59,3,0)</f>
        <v>30</v>
      </c>
      <c r="C38" t="str">
        <f>VLOOKUP(A38,'Begr.-Rechner int. Prod.'!A40:I95,9,0)</f>
        <v>Kreuzblütler</v>
      </c>
      <c r="D38" t="s">
        <v>92</v>
      </c>
    </row>
    <row r="39" spans="1:4" x14ac:dyDescent="0.2">
      <c r="A39" t="s">
        <v>481</v>
      </c>
      <c r="B39">
        <f>VLOOKUP(A39,'Begr.-Rechner int. Prod.'!$A$4:$I$59,3,0)</f>
        <v>80</v>
      </c>
      <c r="C39" t="str">
        <f>VLOOKUP(A39,'Begr.-Rechner int. Prod.'!A41:I96,9,0)</f>
        <v>Gräser</v>
      </c>
      <c r="D39" t="s">
        <v>481</v>
      </c>
    </row>
    <row r="40" spans="1:4" x14ac:dyDescent="0.2">
      <c r="A40" t="s">
        <v>1059</v>
      </c>
      <c r="B40">
        <f>VLOOKUP(A40,'Begr.-Rechner int. Prod.'!$A$4:$I$59,3,0)</f>
        <v>10</v>
      </c>
      <c r="C40" t="str">
        <f>VLOOKUP(A40,'Begr.-Rechner int. Prod.'!A42:I97,9,0)</f>
        <v>Kreuzblütler</v>
      </c>
      <c r="D40" t="s">
        <v>1059</v>
      </c>
    </row>
    <row r="41" spans="1:4" x14ac:dyDescent="0.2">
      <c r="A41" t="s">
        <v>33</v>
      </c>
      <c r="B41">
        <f>VLOOKUP(A41,'Begr.-Rechner int. Prod.'!$A$4:$I$59,3,0)</f>
        <v>20</v>
      </c>
      <c r="C41" t="str">
        <f>VLOOKUP(A41,'Begr.-Rechner int. Prod.'!A43:I98,9,0)</f>
        <v>Leguminose</v>
      </c>
      <c r="D41" t="s">
        <v>33</v>
      </c>
    </row>
    <row r="42" spans="1:4" x14ac:dyDescent="0.2">
      <c r="A42" t="s">
        <v>34</v>
      </c>
      <c r="B42">
        <f>VLOOKUP(A42,'Begr.-Rechner int. Prod.'!$A$4:$I$59,3,0)</f>
        <v>15</v>
      </c>
      <c r="C42" t="str">
        <f>VLOOKUP(A42,'Begr.-Rechner int. Prod.'!A44:I99,9,0)</f>
        <v>Kreuzblütler</v>
      </c>
      <c r="D42" t="s">
        <v>34</v>
      </c>
    </row>
    <row r="43" spans="1:4" x14ac:dyDescent="0.2">
      <c r="A43" t="s">
        <v>648</v>
      </c>
      <c r="B43">
        <f>VLOOKUP(A43,'Begr.-Rechner int. Prod.'!$A$4:$I$59,3,0)</f>
        <v>20</v>
      </c>
      <c r="C43" t="str">
        <f>VLOOKUP(A43,'Begr.-Rechner int. Prod.'!A45:I100,9,0)</f>
        <v>Kreuzblütler</v>
      </c>
      <c r="D43" t="s">
        <v>34</v>
      </c>
    </row>
    <row r="44" spans="1:4" x14ac:dyDescent="0.2">
      <c r="A44" t="s">
        <v>36</v>
      </c>
      <c r="B44">
        <f>VLOOKUP(A44,'Begr.-Rechner int. Prod.'!$A$4:$I$59,3,0)</f>
        <v>15</v>
      </c>
      <c r="C44" t="str">
        <f>VLOOKUP(A44,'Begr.-Rechner int. Prod.'!A46:I101,9,0)</f>
        <v>Kreuzblütler</v>
      </c>
      <c r="D44" t="s">
        <v>739</v>
      </c>
    </row>
    <row r="45" spans="1:4" x14ac:dyDescent="0.2">
      <c r="A45" t="s">
        <v>214</v>
      </c>
      <c r="B45">
        <f>VLOOKUP(A45,'Begr.-Rechner int. Prod.'!$A$4:$I$59,3,0)</f>
        <v>6</v>
      </c>
      <c r="C45" t="str">
        <f>VLOOKUP(A45,'Begr.-Rechner int. Prod.'!A47:I102,9,0)</f>
        <v>Korbblütler</v>
      </c>
      <c r="D45" t="s">
        <v>214</v>
      </c>
    </row>
    <row r="46" spans="1:4" x14ac:dyDescent="0.2">
      <c r="A46" t="s">
        <v>380</v>
      </c>
      <c r="B46">
        <f>VLOOKUP(A46,'Begr.-Rechner int. Prod.'!$A$4:$I$59,3,0)</f>
        <v>20</v>
      </c>
      <c r="C46" t="str">
        <f>VLOOKUP(A46,'Begr.-Rechner int. Prod.'!A48:I103,9,0)</f>
        <v>Wegerichgewächse</v>
      </c>
      <c r="D46" t="s">
        <v>380</v>
      </c>
    </row>
    <row r="47" spans="1:4" x14ac:dyDescent="0.2">
      <c r="A47" t="s">
        <v>443</v>
      </c>
      <c r="B47">
        <f>VLOOKUP(A47,'Begr.-Rechner int. Prod.'!$A$4:$I$59,3,0)</f>
        <v>25</v>
      </c>
      <c r="C47" t="str">
        <f>VLOOKUP(A47,'Begr.-Rechner int. Prod.'!A49:I104,9,0)</f>
        <v>Leguminose</v>
      </c>
      <c r="D47" t="s">
        <v>443</v>
      </c>
    </row>
    <row r="48" spans="1:4" x14ac:dyDescent="0.2">
      <c r="A48" t="s">
        <v>37</v>
      </c>
      <c r="B48">
        <f>VLOOKUP(A48,'Begr.-Rechner int. Prod.'!$A$4:$I$59,3,0)</f>
        <v>25</v>
      </c>
      <c r="C48" t="str">
        <f>VLOOKUP(A48,'Begr.-Rechner int. Prod.'!A50:I105,9,0)</f>
        <v>Gräser</v>
      </c>
      <c r="D48" t="s">
        <v>37</v>
      </c>
    </row>
    <row r="49" spans="1:4" x14ac:dyDescent="0.2">
      <c r="A49" t="s">
        <v>205</v>
      </c>
      <c r="B49">
        <f>VLOOKUP(A49,'Begr.-Rechner int. Prod.'!$A$4:$I$59,3,0)</f>
        <v>150</v>
      </c>
      <c r="C49" t="str">
        <f>VLOOKUP(A49,'Begr.-Rechner int. Prod.'!A51:I106,9,0)</f>
        <v>Gräser</v>
      </c>
      <c r="D49" t="s">
        <v>738</v>
      </c>
    </row>
    <row r="50" spans="1:4" x14ac:dyDescent="0.2">
      <c r="A50" t="s">
        <v>38</v>
      </c>
      <c r="B50">
        <f>VLOOKUP(A50,'Begr.-Rechner int. Prod.'!$A$4:$I$59,3,0)</f>
        <v>12</v>
      </c>
      <c r="C50" t="str">
        <f>VLOOKUP(A50,'Begr.-Rechner int. Prod.'!A52:I107,9,0)</f>
        <v>Leguminose</v>
      </c>
      <c r="D50" t="s">
        <v>38</v>
      </c>
    </row>
    <row r="51" spans="1:4" x14ac:dyDescent="0.2">
      <c r="A51" t="s">
        <v>381</v>
      </c>
      <c r="B51">
        <f>VLOOKUP(A51,'Begr.-Rechner int. Prod.'!$A$4:$I$59,3,0)</f>
        <v>130</v>
      </c>
      <c r="C51" t="str">
        <f>VLOOKUP(A51,'Begr.-Rechner int. Prod.'!A53:I108,9,0)</f>
        <v>Leguminose</v>
      </c>
      <c r="D51" t="s">
        <v>734</v>
      </c>
    </row>
    <row r="52" spans="1:4" x14ac:dyDescent="0.2">
      <c r="A52" t="s">
        <v>40</v>
      </c>
      <c r="B52">
        <f>VLOOKUP(A52,'Begr.-Rechner int. Prod.'!$A$4:$I$59,3,0)</f>
        <v>15</v>
      </c>
      <c r="C52" t="str">
        <f>VLOOKUP(A52,'Begr.-Rechner int. Prod.'!A54:I109,9,0)</f>
        <v>Kreuzblütler</v>
      </c>
      <c r="D52" t="s">
        <v>739</v>
      </c>
    </row>
    <row r="53" spans="1:4" x14ac:dyDescent="0.2">
      <c r="A53" t="s">
        <v>482</v>
      </c>
      <c r="B53">
        <f>VLOOKUP(A53,'Begr.-Rechner int. Prod.'!$A$4:$I$59,3,0)</f>
        <v>15</v>
      </c>
      <c r="C53" t="str">
        <f>VLOOKUP(A53,'Begr.-Rechner int. Prod.'!A55:I110,9,0)</f>
        <v>Kreuzblütler</v>
      </c>
      <c r="D53" t="s">
        <v>740</v>
      </c>
    </row>
    <row r="54" spans="1:4" x14ac:dyDescent="0.2">
      <c r="A54" t="s">
        <v>41</v>
      </c>
      <c r="B54">
        <f>VLOOKUP(A54,'Begr.-Rechner int. Prod.'!$A$4:$I$59,3,0)</f>
        <v>100</v>
      </c>
      <c r="C54" t="str">
        <f>VLOOKUP(A54,'Begr.-Rechner int. Prod.'!A56:I111,9,0)</f>
        <v>Leguminose</v>
      </c>
      <c r="D54" t="s">
        <v>737</v>
      </c>
    </row>
    <row r="55" spans="1:4" x14ac:dyDescent="0.2">
      <c r="A55" t="s">
        <v>385</v>
      </c>
      <c r="B55">
        <f>VLOOKUP(A55,'Begr.-Rechner int. Prod.'!$A$4:$I$59,3,0)</f>
        <v>15</v>
      </c>
      <c r="C55" t="str">
        <f>VLOOKUP(A55,'Begr.-Rechner int. Prod.'!A57:I112,9,0)</f>
        <v>Korbblütler</v>
      </c>
      <c r="D55" t="s">
        <v>385</v>
      </c>
    </row>
    <row r="56" spans="1:4" x14ac:dyDescent="0.2">
      <c r="A56" t="s">
        <v>386</v>
      </c>
      <c r="B56">
        <f>VLOOKUP(A56,'Begr.-Rechner int. Prod.'!$A$4:$I$59,3,0)</f>
        <v>15</v>
      </c>
      <c r="C56" t="str">
        <f>VLOOKUP(A56,'Begr.-Rechner int. Prod.'!A58:I113,9,0)</f>
        <v>Gräser</v>
      </c>
      <c r="D56" t="s">
        <v>386</v>
      </c>
    </row>
    <row r="57" spans="1:4" x14ac:dyDescent="0.2">
      <c r="A57" t="s">
        <v>557</v>
      </c>
      <c r="C57" t="s">
        <v>312</v>
      </c>
      <c r="D57" t="s">
        <v>557</v>
      </c>
    </row>
    <row r="58" spans="1:4" x14ac:dyDescent="0.2">
      <c r="A58" t="s">
        <v>559</v>
      </c>
      <c r="C58" t="s">
        <v>354</v>
      </c>
      <c r="D58" t="s">
        <v>559</v>
      </c>
    </row>
    <row r="59" spans="1:4" x14ac:dyDescent="0.2">
      <c r="A59" t="s">
        <v>560</v>
      </c>
      <c r="C59" t="s">
        <v>354</v>
      </c>
      <c r="D59" t="s">
        <v>560</v>
      </c>
    </row>
    <row r="60" spans="1:4" x14ac:dyDescent="0.2">
      <c r="A60" t="s">
        <v>561</v>
      </c>
      <c r="C60" t="s">
        <v>314</v>
      </c>
      <c r="D60" t="s">
        <v>561</v>
      </c>
    </row>
    <row r="61" spans="1:4" x14ac:dyDescent="0.2">
      <c r="A61" t="s">
        <v>563</v>
      </c>
      <c r="C61" t="s">
        <v>117</v>
      </c>
      <c r="D61" t="s">
        <v>735</v>
      </c>
    </row>
    <row r="62" spans="1:4" x14ac:dyDescent="0.2">
      <c r="A62" t="s">
        <v>565</v>
      </c>
      <c r="C62" t="s">
        <v>159</v>
      </c>
      <c r="D62" t="s">
        <v>741</v>
      </c>
    </row>
    <row r="63" spans="1:4" x14ac:dyDescent="0.2">
      <c r="A63" t="s">
        <v>566</v>
      </c>
      <c r="C63" t="s">
        <v>354</v>
      </c>
      <c r="D63" t="s">
        <v>566</v>
      </c>
    </row>
    <row r="64" spans="1:4" x14ac:dyDescent="0.2">
      <c r="A64" t="s">
        <v>569</v>
      </c>
      <c r="C64" t="s">
        <v>314</v>
      </c>
      <c r="D64" t="s">
        <v>569</v>
      </c>
    </row>
    <row r="65" spans="1:22" x14ac:dyDescent="0.2">
      <c r="A65" t="s">
        <v>131</v>
      </c>
      <c r="C65" t="s">
        <v>312</v>
      </c>
      <c r="D65" t="s">
        <v>737</v>
      </c>
    </row>
    <row r="66" spans="1:22" x14ac:dyDescent="0.2">
      <c r="A66" t="s">
        <v>268</v>
      </c>
      <c r="C66" t="s">
        <v>312</v>
      </c>
      <c r="D66" t="s">
        <v>268</v>
      </c>
    </row>
    <row r="67" spans="1:22" x14ac:dyDescent="0.2">
      <c r="A67" t="s">
        <v>596</v>
      </c>
      <c r="C67" t="s">
        <v>312</v>
      </c>
      <c r="D67" t="s">
        <v>596</v>
      </c>
    </row>
    <row r="68" spans="1:22" x14ac:dyDescent="0.2">
      <c r="A68" t="s">
        <v>687</v>
      </c>
      <c r="C68" t="s">
        <v>313</v>
      </c>
      <c r="D68" t="s">
        <v>10</v>
      </c>
    </row>
    <row r="69" spans="1:22" x14ac:dyDescent="0.2">
      <c r="A69" t="s">
        <v>688</v>
      </c>
      <c r="C69" t="s">
        <v>159</v>
      </c>
      <c r="D69" t="s">
        <v>688</v>
      </c>
    </row>
    <row r="70" spans="1:22" x14ac:dyDescent="0.2">
      <c r="A70" t="s">
        <v>168</v>
      </c>
      <c r="C70" t="s">
        <v>159</v>
      </c>
      <c r="D70" t="s">
        <v>168</v>
      </c>
    </row>
    <row r="71" spans="1:22" x14ac:dyDescent="0.2">
      <c r="A71" t="s">
        <v>177</v>
      </c>
      <c r="C71" t="s">
        <v>159</v>
      </c>
      <c r="D71" t="s">
        <v>177</v>
      </c>
    </row>
    <row r="72" spans="1:22" x14ac:dyDescent="0.2">
      <c r="A72" t="s">
        <v>689</v>
      </c>
      <c r="C72" t="s">
        <v>159</v>
      </c>
      <c r="D72" t="s">
        <v>689</v>
      </c>
    </row>
    <row r="73" spans="1:22" x14ac:dyDescent="0.2">
      <c r="A73" t="s">
        <v>690</v>
      </c>
      <c r="C73" t="s">
        <v>159</v>
      </c>
      <c r="D73" t="s">
        <v>738</v>
      </c>
    </row>
    <row r="74" spans="1:22" x14ac:dyDescent="0.2">
      <c r="A74" s="338" t="s">
        <v>595</v>
      </c>
      <c r="C74" t="s">
        <v>312</v>
      </c>
      <c r="D74" s="338" t="s">
        <v>595</v>
      </c>
    </row>
    <row r="75" spans="1:22" x14ac:dyDescent="0.2">
      <c r="A75" t="s">
        <v>731</v>
      </c>
      <c r="C75" t="s">
        <v>732</v>
      </c>
      <c r="D75" t="s">
        <v>731</v>
      </c>
    </row>
    <row r="78" spans="1:22" x14ac:dyDescent="0.2">
      <c r="A78">
        <v>1</v>
      </c>
      <c r="B78">
        <v>2</v>
      </c>
      <c r="C78">
        <v>3</v>
      </c>
      <c r="D78">
        <v>4</v>
      </c>
      <c r="E78">
        <v>5</v>
      </c>
      <c r="F78">
        <v>6</v>
      </c>
      <c r="G78">
        <v>7</v>
      </c>
      <c r="H78">
        <v>8</v>
      </c>
      <c r="I78">
        <v>9</v>
      </c>
      <c r="J78">
        <v>10</v>
      </c>
      <c r="K78">
        <v>11</v>
      </c>
      <c r="L78">
        <v>12</v>
      </c>
      <c r="M78">
        <v>13</v>
      </c>
      <c r="N78">
        <v>14</v>
      </c>
      <c r="O78">
        <v>15</v>
      </c>
      <c r="P78">
        <v>16</v>
      </c>
      <c r="Q78">
        <v>17</v>
      </c>
      <c r="R78">
        <v>18</v>
      </c>
      <c r="S78">
        <v>19</v>
      </c>
      <c r="T78">
        <v>20</v>
      </c>
      <c r="U78">
        <v>21</v>
      </c>
      <c r="V78">
        <v>22</v>
      </c>
    </row>
    <row r="79" spans="1:22" ht="15" x14ac:dyDescent="0.2">
      <c r="A79" s="339" t="s">
        <v>445</v>
      </c>
      <c r="B79" s="340" t="s">
        <v>24</v>
      </c>
      <c r="C79" s="340" t="s">
        <v>686</v>
      </c>
      <c r="D79" s="340" t="s">
        <v>481</v>
      </c>
      <c r="E79" s="340" t="s">
        <v>637</v>
      </c>
      <c r="F79" s="340" t="s">
        <v>10</v>
      </c>
      <c r="G79" s="340" t="s">
        <v>378</v>
      </c>
      <c r="H79" s="340" t="s">
        <v>646</v>
      </c>
      <c r="I79" s="340" t="s">
        <v>584</v>
      </c>
      <c r="J79" s="340" t="s">
        <v>584</v>
      </c>
      <c r="K79" s="340" t="s">
        <v>584</v>
      </c>
      <c r="L79" s="340" t="s">
        <v>584</v>
      </c>
      <c r="M79" s="340" t="s">
        <v>584</v>
      </c>
      <c r="N79" s="340" t="s">
        <v>584</v>
      </c>
      <c r="O79" s="340" t="s">
        <v>584</v>
      </c>
      <c r="P79" s="340" t="s">
        <v>584</v>
      </c>
      <c r="Q79" s="340" t="s">
        <v>584</v>
      </c>
      <c r="R79" s="340" t="s">
        <v>584</v>
      </c>
      <c r="S79" s="340" t="s">
        <v>584</v>
      </c>
      <c r="T79" s="340" t="s">
        <v>584</v>
      </c>
      <c r="U79" s="340" t="s">
        <v>584</v>
      </c>
      <c r="V79" s="340" t="s">
        <v>584</v>
      </c>
    </row>
    <row r="80" spans="1:22" ht="15" x14ac:dyDescent="0.2">
      <c r="A80" s="339" t="s">
        <v>684</v>
      </c>
      <c r="B80" s="340" t="s">
        <v>441</v>
      </c>
      <c r="C80" s="340" t="s">
        <v>10</v>
      </c>
      <c r="D80" s="340" t="s">
        <v>34</v>
      </c>
      <c r="E80" s="340" t="s">
        <v>637</v>
      </c>
      <c r="F80" s="340" t="s">
        <v>646</v>
      </c>
      <c r="G80" s="340" t="s">
        <v>584</v>
      </c>
      <c r="H80" s="340" t="s">
        <v>584</v>
      </c>
      <c r="I80" s="340" t="s">
        <v>584</v>
      </c>
      <c r="J80" s="340" t="s">
        <v>584</v>
      </c>
      <c r="K80" s="340" t="s">
        <v>584</v>
      </c>
      <c r="L80" s="340" t="s">
        <v>584</v>
      </c>
      <c r="M80" s="340" t="s">
        <v>584</v>
      </c>
      <c r="N80" s="340" t="s">
        <v>584</v>
      </c>
      <c r="O80" s="340" t="s">
        <v>584</v>
      </c>
      <c r="P80" s="340" t="s">
        <v>584</v>
      </c>
      <c r="Q80" s="340" t="s">
        <v>584</v>
      </c>
      <c r="R80" s="340" t="s">
        <v>584</v>
      </c>
      <c r="S80" s="340" t="s">
        <v>584</v>
      </c>
      <c r="T80" s="340" t="s">
        <v>584</v>
      </c>
      <c r="U80" s="340" t="s">
        <v>584</v>
      </c>
      <c r="V80" s="340" t="s">
        <v>584</v>
      </c>
    </row>
    <row r="81" spans="1:22" ht="15" x14ac:dyDescent="0.2">
      <c r="A81" s="339" t="s">
        <v>446</v>
      </c>
      <c r="B81" s="340" t="s">
        <v>441</v>
      </c>
      <c r="C81" s="340" t="s">
        <v>24</v>
      </c>
      <c r="D81" s="340" t="s">
        <v>10</v>
      </c>
      <c r="E81" s="340" t="s">
        <v>686</v>
      </c>
      <c r="F81" s="340" t="s">
        <v>378</v>
      </c>
      <c r="G81" s="340" t="s">
        <v>646</v>
      </c>
      <c r="H81" s="340" t="s">
        <v>637</v>
      </c>
      <c r="I81" s="340" t="s">
        <v>584</v>
      </c>
      <c r="J81" s="340" t="s">
        <v>584</v>
      </c>
      <c r="K81" s="340" t="s">
        <v>584</v>
      </c>
      <c r="L81" s="340" t="s">
        <v>584</v>
      </c>
      <c r="M81" s="340" t="s">
        <v>584</v>
      </c>
      <c r="N81" s="340" t="s">
        <v>584</v>
      </c>
      <c r="O81" s="340" t="s">
        <v>584</v>
      </c>
      <c r="P81" s="340" t="s">
        <v>584</v>
      </c>
      <c r="Q81" s="340" t="s">
        <v>584</v>
      </c>
      <c r="R81" s="340" t="s">
        <v>584</v>
      </c>
      <c r="S81" s="340" t="s">
        <v>584</v>
      </c>
      <c r="T81" s="340" t="s">
        <v>584</v>
      </c>
      <c r="U81" s="340" t="s">
        <v>584</v>
      </c>
      <c r="V81" s="340" t="s">
        <v>584</v>
      </c>
    </row>
    <row r="82" spans="1:22" ht="15" x14ac:dyDescent="0.2">
      <c r="A82" s="339" t="s">
        <v>488</v>
      </c>
      <c r="B82" s="340" t="s">
        <v>69</v>
      </c>
      <c r="C82" s="340" t="s">
        <v>686</v>
      </c>
      <c r="D82" s="340" t="s">
        <v>637</v>
      </c>
      <c r="E82" s="340" t="s">
        <v>483</v>
      </c>
      <c r="F82" s="340" t="s">
        <v>8</v>
      </c>
      <c r="G82" s="340" t="s">
        <v>62</v>
      </c>
      <c r="H82" s="340" t="s">
        <v>23</v>
      </c>
      <c r="I82" s="340" t="s">
        <v>24</v>
      </c>
      <c r="J82" s="340" t="s">
        <v>584</v>
      </c>
      <c r="K82" s="340" t="s">
        <v>584</v>
      </c>
      <c r="L82" s="340" t="s">
        <v>584</v>
      </c>
      <c r="M82" s="340" t="s">
        <v>584</v>
      </c>
      <c r="N82" s="340" t="s">
        <v>584</v>
      </c>
      <c r="O82" s="340" t="s">
        <v>584</v>
      </c>
      <c r="P82" s="340" t="s">
        <v>584</v>
      </c>
      <c r="Q82" s="340" t="s">
        <v>584</v>
      </c>
      <c r="R82" s="340" t="s">
        <v>584</v>
      </c>
      <c r="S82" s="340" t="s">
        <v>584</v>
      </c>
      <c r="T82" s="340" t="s">
        <v>584</v>
      </c>
      <c r="U82" s="340" t="s">
        <v>584</v>
      </c>
      <c r="V82" s="340" t="s">
        <v>584</v>
      </c>
    </row>
    <row r="83" spans="1:22" ht="15" x14ac:dyDescent="0.2">
      <c r="A83" s="339" t="s">
        <v>447</v>
      </c>
      <c r="B83" s="340" t="s">
        <v>690</v>
      </c>
      <c r="C83" s="340" t="s">
        <v>481</v>
      </c>
      <c r="D83" s="340" t="s">
        <v>16</v>
      </c>
      <c r="E83" s="340" t="s">
        <v>40</v>
      </c>
      <c r="F83" s="340" t="s">
        <v>68</v>
      </c>
      <c r="G83" s="340" t="s">
        <v>41</v>
      </c>
      <c r="H83" s="340" t="s">
        <v>62</v>
      </c>
      <c r="I83" s="340" t="s">
        <v>23</v>
      </c>
      <c r="J83" s="340" t="s">
        <v>483</v>
      </c>
      <c r="K83" s="340" t="s">
        <v>19</v>
      </c>
      <c r="L83" s="340" t="s">
        <v>584</v>
      </c>
      <c r="M83" s="340" t="s">
        <v>584</v>
      </c>
      <c r="N83" s="340" t="s">
        <v>584</v>
      </c>
      <c r="O83" s="340" t="s">
        <v>584</v>
      </c>
      <c r="P83" s="340" t="s">
        <v>584</v>
      </c>
      <c r="Q83" s="340" t="s">
        <v>584</v>
      </c>
      <c r="R83" s="340" t="s">
        <v>584</v>
      </c>
      <c r="S83" s="340" t="s">
        <v>584</v>
      </c>
      <c r="T83" s="340" t="s">
        <v>584</v>
      </c>
      <c r="U83" s="340" t="s">
        <v>584</v>
      </c>
      <c r="V83" s="340" t="s">
        <v>584</v>
      </c>
    </row>
    <row r="84" spans="1:22" ht="15" x14ac:dyDescent="0.2">
      <c r="A84" s="339" t="s">
        <v>451</v>
      </c>
      <c r="B84" s="340" t="s">
        <v>481</v>
      </c>
      <c r="C84" s="340" t="s">
        <v>69</v>
      </c>
      <c r="D84" s="340" t="s">
        <v>637</v>
      </c>
      <c r="E84" s="340" t="s">
        <v>483</v>
      </c>
      <c r="F84" s="340" t="s">
        <v>646</v>
      </c>
      <c r="G84" s="340" t="s">
        <v>214</v>
      </c>
      <c r="H84" s="340" t="s">
        <v>584</v>
      </c>
      <c r="I84" s="340" t="s">
        <v>584</v>
      </c>
      <c r="J84" s="340" t="s">
        <v>584</v>
      </c>
      <c r="K84" s="340" t="s">
        <v>584</v>
      </c>
      <c r="L84" s="340" t="s">
        <v>584</v>
      </c>
      <c r="M84" s="340" t="s">
        <v>584</v>
      </c>
      <c r="N84" s="340" t="s">
        <v>584</v>
      </c>
      <c r="O84" s="340" t="s">
        <v>584</v>
      </c>
      <c r="P84" s="340" t="s">
        <v>584</v>
      </c>
      <c r="Q84" s="340" t="s">
        <v>584</v>
      </c>
      <c r="R84" s="340" t="s">
        <v>584</v>
      </c>
      <c r="S84" s="340" t="s">
        <v>584</v>
      </c>
      <c r="T84" s="340" t="s">
        <v>584</v>
      </c>
      <c r="U84" s="340" t="s">
        <v>584</v>
      </c>
      <c r="V84" s="340" t="s">
        <v>584</v>
      </c>
    </row>
    <row r="85" spans="1:22" ht="15" x14ac:dyDescent="0.2">
      <c r="A85" s="339" t="s">
        <v>691</v>
      </c>
      <c r="B85" s="340" t="s">
        <v>481</v>
      </c>
      <c r="C85" s="340" t="s">
        <v>10</v>
      </c>
      <c r="D85" s="340" t="s">
        <v>637</v>
      </c>
      <c r="E85" s="340" t="s">
        <v>483</v>
      </c>
      <c r="F85" s="340" t="s">
        <v>19</v>
      </c>
      <c r="G85" s="340" t="s">
        <v>62</v>
      </c>
      <c r="H85" s="340" t="s">
        <v>646</v>
      </c>
      <c r="I85" s="340" t="s">
        <v>23</v>
      </c>
      <c r="J85" s="340" t="s">
        <v>214</v>
      </c>
      <c r="K85" s="340" t="s">
        <v>24</v>
      </c>
      <c r="L85" s="340" t="s">
        <v>584</v>
      </c>
      <c r="M85" s="340" t="s">
        <v>584</v>
      </c>
      <c r="N85" s="340" t="s">
        <v>584</v>
      </c>
      <c r="O85" s="340" t="s">
        <v>584</v>
      </c>
      <c r="P85" s="340" t="s">
        <v>584</v>
      </c>
      <c r="Q85" s="340" t="s">
        <v>584</v>
      </c>
      <c r="R85" s="340" t="s">
        <v>584</v>
      </c>
      <c r="S85" s="340" t="s">
        <v>584</v>
      </c>
      <c r="T85" s="340" t="s">
        <v>584</v>
      </c>
      <c r="U85" s="340" t="s">
        <v>584</v>
      </c>
      <c r="V85" s="340" t="s">
        <v>584</v>
      </c>
    </row>
    <row r="86" spans="1:22" ht="15" x14ac:dyDescent="0.2">
      <c r="A86" s="339" t="s">
        <v>337</v>
      </c>
      <c r="B86" s="340" t="s">
        <v>481</v>
      </c>
      <c r="C86" s="340" t="s">
        <v>69</v>
      </c>
      <c r="D86" s="340" t="s">
        <v>686</v>
      </c>
      <c r="E86" s="340" t="s">
        <v>13</v>
      </c>
      <c r="F86" s="340" t="s">
        <v>23</v>
      </c>
      <c r="G86" s="340" t="s">
        <v>483</v>
      </c>
      <c r="H86" s="340" t="s">
        <v>637</v>
      </c>
      <c r="I86" s="340" t="s">
        <v>214</v>
      </c>
      <c r="J86" s="340" t="s">
        <v>646</v>
      </c>
      <c r="K86" s="340" t="s">
        <v>8</v>
      </c>
      <c r="L86" s="340" t="s">
        <v>19</v>
      </c>
      <c r="M86" s="340" t="s">
        <v>62</v>
      </c>
      <c r="N86" s="340" t="s">
        <v>584</v>
      </c>
      <c r="O86" s="340" t="s">
        <v>584</v>
      </c>
      <c r="P86" s="340" t="s">
        <v>584</v>
      </c>
      <c r="Q86" s="340" t="s">
        <v>584</v>
      </c>
      <c r="R86" s="340" t="s">
        <v>584</v>
      </c>
      <c r="S86" s="340" t="s">
        <v>584</v>
      </c>
      <c r="T86" s="340" t="s">
        <v>584</v>
      </c>
      <c r="U86" s="340" t="s">
        <v>584</v>
      </c>
      <c r="V86" s="340" t="s">
        <v>584</v>
      </c>
    </row>
    <row r="87" spans="1:22" ht="15" x14ac:dyDescent="0.2">
      <c r="A87" s="339" t="s">
        <v>448</v>
      </c>
      <c r="B87" s="340" t="s">
        <v>13</v>
      </c>
      <c r="C87" s="340" t="s">
        <v>69</v>
      </c>
      <c r="D87" s="340" t="s">
        <v>686</v>
      </c>
      <c r="E87" s="340" t="s">
        <v>483</v>
      </c>
      <c r="F87" s="340" t="s">
        <v>214</v>
      </c>
      <c r="G87" s="340" t="s">
        <v>637</v>
      </c>
      <c r="H87" s="340" t="s">
        <v>131</v>
      </c>
      <c r="I87" s="340" t="s">
        <v>8</v>
      </c>
      <c r="J87" s="340" t="s">
        <v>62</v>
      </c>
      <c r="K87" s="340" t="s">
        <v>23</v>
      </c>
      <c r="L87" s="340" t="s">
        <v>595</v>
      </c>
      <c r="M87" s="340" t="s">
        <v>646</v>
      </c>
      <c r="N87" s="340" t="s">
        <v>16</v>
      </c>
      <c r="O87" s="340" t="s">
        <v>25</v>
      </c>
      <c r="P87" s="340" t="s">
        <v>33</v>
      </c>
      <c r="Q87" s="340" t="s">
        <v>30</v>
      </c>
      <c r="R87" s="340" t="s">
        <v>38</v>
      </c>
      <c r="S87" s="340" t="s">
        <v>584</v>
      </c>
      <c r="T87" s="340" t="s">
        <v>584</v>
      </c>
      <c r="U87" s="340" t="s">
        <v>584</v>
      </c>
      <c r="V87" s="340" t="s">
        <v>584</v>
      </c>
    </row>
    <row r="88" spans="1:22" ht="15" x14ac:dyDescent="0.2">
      <c r="A88" s="339" t="s">
        <v>692</v>
      </c>
      <c r="B88" s="340" t="s">
        <v>62</v>
      </c>
      <c r="C88" s="340" t="s">
        <v>8</v>
      </c>
      <c r="D88" s="340" t="s">
        <v>13</v>
      </c>
      <c r="E88" s="340" t="s">
        <v>483</v>
      </c>
      <c r="F88" s="340" t="s">
        <v>25</v>
      </c>
      <c r="G88" s="340" t="s">
        <v>646</v>
      </c>
      <c r="H88" s="340" t="s">
        <v>637</v>
      </c>
      <c r="I88" s="340" t="s">
        <v>595</v>
      </c>
      <c r="J88" s="340" t="s">
        <v>686</v>
      </c>
      <c r="K88" s="340" t="s">
        <v>214</v>
      </c>
      <c r="L88" s="340" t="s">
        <v>37</v>
      </c>
      <c r="M88" s="340" t="s">
        <v>23</v>
      </c>
      <c r="N88" s="340" t="s">
        <v>30</v>
      </c>
      <c r="O88" s="340" t="s">
        <v>33</v>
      </c>
      <c r="P88" s="340" t="s">
        <v>16</v>
      </c>
      <c r="Q88" s="340" t="s">
        <v>41</v>
      </c>
      <c r="R88" s="340" t="s">
        <v>482</v>
      </c>
      <c r="S88" s="340" t="s">
        <v>690</v>
      </c>
      <c r="T88" s="340" t="s">
        <v>380</v>
      </c>
      <c r="U88" s="340" t="s">
        <v>584</v>
      </c>
      <c r="V88" s="340" t="s">
        <v>584</v>
      </c>
    </row>
    <row r="89" spans="1:22" ht="15" x14ac:dyDescent="0.2">
      <c r="A89" s="339" t="s">
        <v>693</v>
      </c>
      <c r="B89" s="340" t="s">
        <v>481</v>
      </c>
      <c r="C89" s="340" t="s">
        <v>13</v>
      </c>
      <c r="D89" s="340" t="s">
        <v>686</v>
      </c>
      <c r="E89" s="340" t="s">
        <v>637</v>
      </c>
      <c r="F89" s="340" t="s">
        <v>23</v>
      </c>
      <c r="G89" s="340" t="s">
        <v>646</v>
      </c>
      <c r="H89" s="340" t="s">
        <v>483</v>
      </c>
      <c r="I89" s="340" t="s">
        <v>595</v>
      </c>
      <c r="J89" s="340" t="s">
        <v>62</v>
      </c>
      <c r="K89" s="340" t="s">
        <v>8</v>
      </c>
      <c r="L89" s="340" t="s">
        <v>584</v>
      </c>
      <c r="M89" s="340" t="s">
        <v>584</v>
      </c>
      <c r="N89" s="340" t="s">
        <v>584</v>
      </c>
      <c r="O89" s="340" t="s">
        <v>584</v>
      </c>
      <c r="P89" s="340" t="s">
        <v>584</v>
      </c>
      <c r="Q89" s="340" t="s">
        <v>584</v>
      </c>
      <c r="R89" s="340" t="s">
        <v>584</v>
      </c>
      <c r="S89" s="340" t="s">
        <v>584</v>
      </c>
      <c r="T89" s="340" t="s">
        <v>584</v>
      </c>
      <c r="U89" s="340" t="s">
        <v>584</v>
      </c>
      <c r="V89" s="340" t="s">
        <v>584</v>
      </c>
    </row>
    <row r="90" spans="1:22" ht="15" x14ac:dyDescent="0.2">
      <c r="A90" s="339" t="s">
        <v>449</v>
      </c>
      <c r="B90" s="340" t="s">
        <v>646</v>
      </c>
      <c r="C90" s="340" t="s">
        <v>483</v>
      </c>
      <c r="D90" s="340" t="s">
        <v>481</v>
      </c>
      <c r="E90" s="340" t="s">
        <v>637</v>
      </c>
      <c r="F90" s="340" t="s">
        <v>13</v>
      </c>
      <c r="G90" s="340" t="s">
        <v>686</v>
      </c>
      <c r="H90" s="340" t="s">
        <v>595</v>
      </c>
      <c r="I90" s="340" t="s">
        <v>8</v>
      </c>
      <c r="J90" s="340" t="s">
        <v>554</v>
      </c>
      <c r="K90" s="340" t="s">
        <v>584</v>
      </c>
      <c r="L90" s="340" t="s">
        <v>584</v>
      </c>
      <c r="M90" s="340" t="s">
        <v>584</v>
      </c>
      <c r="N90" s="340" t="s">
        <v>584</v>
      </c>
      <c r="O90" s="340" t="s">
        <v>584</v>
      </c>
      <c r="P90" s="340" t="s">
        <v>584</v>
      </c>
      <c r="Q90" s="340" t="s">
        <v>584</v>
      </c>
      <c r="R90" s="340" t="s">
        <v>584</v>
      </c>
      <c r="S90" s="340" t="s">
        <v>584</v>
      </c>
      <c r="T90" s="340" t="s">
        <v>584</v>
      </c>
      <c r="U90" s="340" t="s">
        <v>584</v>
      </c>
      <c r="V90" s="340" t="s">
        <v>584</v>
      </c>
    </row>
    <row r="91" spans="1:22" ht="15" x14ac:dyDescent="0.2">
      <c r="A91" s="339" t="s">
        <v>694</v>
      </c>
      <c r="B91" s="340" t="s">
        <v>481</v>
      </c>
      <c r="C91" s="340" t="s">
        <v>8</v>
      </c>
      <c r="D91" s="340" t="s">
        <v>596</v>
      </c>
      <c r="E91" s="340" t="s">
        <v>25</v>
      </c>
      <c r="F91" s="340" t="s">
        <v>686</v>
      </c>
      <c r="G91" s="340" t="s">
        <v>595</v>
      </c>
      <c r="H91" s="340" t="s">
        <v>13</v>
      </c>
      <c r="I91" s="340" t="s">
        <v>62</v>
      </c>
      <c r="J91" s="340" t="s">
        <v>91</v>
      </c>
      <c r="K91" s="340" t="s">
        <v>637</v>
      </c>
      <c r="L91" s="340" t="s">
        <v>483</v>
      </c>
      <c r="M91" s="340" t="s">
        <v>584</v>
      </c>
      <c r="N91" s="340" t="s">
        <v>584</v>
      </c>
      <c r="O91" s="340" t="s">
        <v>584</v>
      </c>
      <c r="P91" s="340" t="s">
        <v>584</v>
      </c>
      <c r="Q91" s="340" t="s">
        <v>584</v>
      </c>
      <c r="R91" s="340" t="s">
        <v>584</v>
      </c>
      <c r="S91" s="340" t="s">
        <v>584</v>
      </c>
      <c r="T91" s="340" t="s">
        <v>584</v>
      </c>
      <c r="U91" s="340" t="s">
        <v>584</v>
      </c>
      <c r="V91" s="340" t="s">
        <v>584</v>
      </c>
    </row>
    <row r="92" spans="1:22" ht="15" x14ac:dyDescent="0.2">
      <c r="A92" s="339" t="s">
        <v>452</v>
      </c>
      <c r="B92" s="340" t="s">
        <v>554</v>
      </c>
      <c r="C92" s="340" t="s">
        <v>686</v>
      </c>
      <c r="D92" s="340" t="s">
        <v>596</v>
      </c>
      <c r="E92" s="340" t="s">
        <v>481</v>
      </c>
      <c r="F92" s="340" t="s">
        <v>483</v>
      </c>
      <c r="G92" s="340" t="s">
        <v>13</v>
      </c>
      <c r="H92" s="340" t="s">
        <v>637</v>
      </c>
      <c r="I92" s="340" t="s">
        <v>8</v>
      </c>
      <c r="J92" s="340" t="s">
        <v>595</v>
      </c>
      <c r="K92" s="340" t="s">
        <v>584</v>
      </c>
      <c r="L92" s="340" t="s">
        <v>584</v>
      </c>
      <c r="M92" s="340" t="s">
        <v>584</v>
      </c>
      <c r="N92" s="340" t="s">
        <v>584</v>
      </c>
      <c r="O92" s="340" t="s">
        <v>584</v>
      </c>
      <c r="P92" s="340" t="s">
        <v>584</v>
      </c>
      <c r="Q92" s="340" t="s">
        <v>584</v>
      </c>
      <c r="R92" s="340" t="s">
        <v>584</v>
      </c>
      <c r="S92" s="340" t="s">
        <v>584</v>
      </c>
      <c r="T92" s="340" t="s">
        <v>584</v>
      </c>
      <c r="U92" s="340" t="s">
        <v>584</v>
      </c>
      <c r="V92" s="340" t="s">
        <v>584</v>
      </c>
    </row>
    <row r="93" spans="1:22" ht="15" x14ac:dyDescent="0.2">
      <c r="A93" s="339" t="s">
        <v>450</v>
      </c>
      <c r="B93" s="340" t="s">
        <v>13</v>
      </c>
      <c r="C93" s="340" t="s">
        <v>686</v>
      </c>
      <c r="D93" s="340" t="s">
        <v>214</v>
      </c>
      <c r="E93" s="340" t="s">
        <v>483</v>
      </c>
      <c r="F93" s="340" t="s">
        <v>69</v>
      </c>
      <c r="G93" s="340" t="s">
        <v>646</v>
      </c>
      <c r="H93" s="340" t="s">
        <v>637</v>
      </c>
      <c r="I93" s="340" t="s">
        <v>8</v>
      </c>
      <c r="J93" s="340" t="s">
        <v>596</v>
      </c>
      <c r="K93" s="340" t="s">
        <v>595</v>
      </c>
      <c r="L93" s="340" t="s">
        <v>584</v>
      </c>
      <c r="M93" s="340" t="s">
        <v>584</v>
      </c>
      <c r="N93" s="340" t="s">
        <v>584</v>
      </c>
      <c r="O93" s="340" t="s">
        <v>584</v>
      </c>
      <c r="P93" s="340" t="s">
        <v>584</v>
      </c>
      <c r="Q93" s="340" t="s">
        <v>584</v>
      </c>
      <c r="R93" s="340" t="s">
        <v>584</v>
      </c>
      <c r="S93" s="340" t="s">
        <v>584</v>
      </c>
      <c r="T93" s="340" t="s">
        <v>584</v>
      </c>
      <c r="U93" s="340" t="s">
        <v>584</v>
      </c>
      <c r="V93" s="340" t="s">
        <v>584</v>
      </c>
    </row>
    <row r="94" spans="1:22" ht="15.75" x14ac:dyDescent="0.2">
      <c r="A94" s="339" t="s">
        <v>1060</v>
      </c>
      <c r="B94" s="340" t="s">
        <v>13</v>
      </c>
      <c r="C94" s="340" t="s">
        <v>686</v>
      </c>
      <c r="D94" s="340" t="s">
        <v>16</v>
      </c>
      <c r="E94" s="340" t="s">
        <v>596</v>
      </c>
      <c r="F94" s="340" t="s">
        <v>41</v>
      </c>
      <c r="G94" s="340" t="s">
        <v>595</v>
      </c>
      <c r="H94" s="340" t="s">
        <v>19</v>
      </c>
      <c r="I94" s="340" t="s">
        <v>214</v>
      </c>
      <c r="J94" s="340" t="s">
        <v>24</v>
      </c>
      <c r="K94" s="340" t="s">
        <v>483</v>
      </c>
      <c r="L94" s="340" t="s">
        <v>646</v>
      </c>
      <c r="M94" s="340" t="s">
        <v>36</v>
      </c>
      <c r="N94" s="340" t="s">
        <v>637</v>
      </c>
      <c r="O94" s="340" t="s">
        <v>69</v>
      </c>
      <c r="P94" s="340" t="s">
        <v>33</v>
      </c>
      <c r="Q94" s="340" t="s">
        <v>23</v>
      </c>
      <c r="R94" s="340" t="s">
        <v>584</v>
      </c>
      <c r="S94" s="340" t="s">
        <v>584</v>
      </c>
      <c r="T94" s="340" t="s">
        <v>584</v>
      </c>
      <c r="U94" s="340" t="s">
        <v>584</v>
      </c>
      <c r="V94" s="340" t="s">
        <v>584</v>
      </c>
    </row>
    <row r="95" spans="1:22" ht="15.75" x14ac:dyDescent="0.2">
      <c r="A95" s="339" t="s">
        <v>1061</v>
      </c>
      <c r="B95" s="340" t="s">
        <v>481</v>
      </c>
      <c r="C95" s="340" t="s">
        <v>24</v>
      </c>
      <c r="D95" s="340" t="s">
        <v>483</v>
      </c>
      <c r="E95" s="340" t="s">
        <v>646</v>
      </c>
      <c r="F95" s="340" t="s">
        <v>19</v>
      </c>
      <c r="G95" s="340" t="s">
        <v>214</v>
      </c>
      <c r="H95" s="340" t="s">
        <v>13</v>
      </c>
      <c r="I95" s="340" t="s">
        <v>41</v>
      </c>
      <c r="J95" s="340" t="s">
        <v>686</v>
      </c>
      <c r="K95" s="340" t="s">
        <v>596</v>
      </c>
      <c r="L95" s="340" t="s">
        <v>36</v>
      </c>
      <c r="M95" s="340" t="s">
        <v>637</v>
      </c>
      <c r="N95" s="340" t="s">
        <v>69</v>
      </c>
      <c r="O95" s="340" t="s">
        <v>23</v>
      </c>
      <c r="P95" s="340" t="s">
        <v>584</v>
      </c>
      <c r="Q95" s="340" t="s">
        <v>584</v>
      </c>
      <c r="R95" s="340" t="s">
        <v>584</v>
      </c>
      <c r="S95" s="340" t="s">
        <v>584</v>
      </c>
      <c r="T95" s="340" t="s">
        <v>584</v>
      </c>
      <c r="U95" s="340" t="s">
        <v>584</v>
      </c>
      <c r="V95" s="340" t="s">
        <v>584</v>
      </c>
    </row>
    <row r="96" spans="1:22" ht="15" x14ac:dyDescent="0.2">
      <c r="A96" s="339" t="s">
        <v>493</v>
      </c>
      <c r="B96" s="340" t="s">
        <v>185</v>
      </c>
      <c r="C96" s="340" t="s">
        <v>16</v>
      </c>
      <c r="D96" s="340" t="s">
        <v>131</v>
      </c>
      <c r="E96" s="340" t="s">
        <v>30</v>
      </c>
      <c r="F96" s="340" t="s">
        <v>64</v>
      </c>
      <c r="G96" s="340" t="s">
        <v>33</v>
      </c>
      <c r="H96" s="340" t="s">
        <v>584</v>
      </c>
      <c r="I96" s="340" t="s">
        <v>584</v>
      </c>
      <c r="J96" s="340" t="s">
        <v>584</v>
      </c>
      <c r="K96" s="340" t="s">
        <v>584</v>
      </c>
      <c r="L96" s="340" t="s">
        <v>584</v>
      </c>
      <c r="M96" s="340" t="s">
        <v>584</v>
      </c>
      <c r="N96" s="340" t="s">
        <v>584</v>
      </c>
      <c r="O96" s="340" t="s">
        <v>584</v>
      </c>
      <c r="P96" s="340" t="s">
        <v>584</v>
      </c>
      <c r="Q96" s="340" t="s">
        <v>584</v>
      </c>
      <c r="R96" s="340" t="s">
        <v>584</v>
      </c>
      <c r="S96" s="340" t="s">
        <v>584</v>
      </c>
      <c r="T96" s="340" t="s">
        <v>584</v>
      </c>
      <c r="U96" s="340" t="s">
        <v>584</v>
      </c>
      <c r="V96" s="340" t="s">
        <v>584</v>
      </c>
    </row>
    <row r="97" spans="1:22" ht="15.75" x14ac:dyDescent="0.2">
      <c r="A97" s="339" t="s">
        <v>697</v>
      </c>
      <c r="B97" s="340" t="s">
        <v>481</v>
      </c>
      <c r="C97" s="340" t="s">
        <v>69</v>
      </c>
      <c r="D97" s="340" t="s">
        <v>646</v>
      </c>
      <c r="E97" s="340" t="s">
        <v>687</v>
      </c>
      <c r="F97" s="340" t="s">
        <v>214</v>
      </c>
      <c r="G97" s="340" t="s">
        <v>34</v>
      </c>
      <c r="H97" s="340" t="s">
        <v>24</v>
      </c>
      <c r="I97" s="340" t="s">
        <v>483</v>
      </c>
      <c r="J97" s="340" t="s">
        <v>19</v>
      </c>
      <c r="K97" s="340" t="s">
        <v>584</v>
      </c>
      <c r="L97" s="340" t="s">
        <v>584</v>
      </c>
      <c r="M97" s="340" t="s">
        <v>584</v>
      </c>
      <c r="N97" s="340" t="s">
        <v>584</v>
      </c>
      <c r="O97" s="340" t="s">
        <v>584</v>
      </c>
      <c r="P97" s="340" t="s">
        <v>584</v>
      </c>
      <c r="Q97" s="340" t="s">
        <v>584</v>
      </c>
      <c r="R97" s="340" t="s">
        <v>584</v>
      </c>
      <c r="S97" s="340" t="s">
        <v>584</v>
      </c>
      <c r="T97" s="340" t="s">
        <v>584</v>
      </c>
      <c r="U97" s="340" t="s">
        <v>584</v>
      </c>
      <c r="V97" s="340" t="s">
        <v>584</v>
      </c>
    </row>
    <row r="98" spans="1:22" ht="15.75" x14ac:dyDescent="0.2">
      <c r="A98" s="339" t="s">
        <v>698</v>
      </c>
      <c r="B98" s="340" t="s">
        <v>481</v>
      </c>
      <c r="C98" s="340" t="s">
        <v>69</v>
      </c>
      <c r="D98" s="340" t="s">
        <v>483</v>
      </c>
      <c r="E98" s="340" t="s">
        <v>646</v>
      </c>
      <c r="F98" s="340" t="s">
        <v>214</v>
      </c>
      <c r="G98" s="340" t="s">
        <v>584</v>
      </c>
      <c r="H98" s="340" t="s">
        <v>584</v>
      </c>
      <c r="I98" s="340" t="s">
        <v>584</v>
      </c>
      <c r="J98" s="340" t="s">
        <v>584</v>
      </c>
      <c r="K98" s="340" t="s">
        <v>584</v>
      </c>
      <c r="L98" s="340" t="s">
        <v>584</v>
      </c>
      <c r="M98" s="340" t="s">
        <v>584</v>
      </c>
      <c r="N98" s="340" t="s">
        <v>584</v>
      </c>
      <c r="O98" s="340" t="s">
        <v>584</v>
      </c>
      <c r="P98" s="340" t="s">
        <v>584</v>
      </c>
      <c r="Q98" s="340" t="s">
        <v>584</v>
      </c>
      <c r="R98" s="340" t="s">
        <v>584</v>
      </c>
      <c r="S98" s="340" t="s">
        <v>584</v>
      </c>
      <c r="T98" s="340" t="s">
        <v>584</v>
      </c>
      <c r="U98" s="340" t="s">
        <v>584</v>
      </c>
      <c r="V98" s="340" t="s">
        <v>584</v>
      </c>
    </row>
    <row r="99" spans="1:22" ht="15.75" x14ac:dyDescent="0.2">
      <c r="A99" s="339" t="s">
        <v>699</v>
      </c>
      <c r="B99" s="340" t="s">
        <v>13</v>
      </c>
      <c r="C99" s="340" t="s">
        <v>686</v>
      </c>
      <c r="D99" s="340" t="s">
        <v>554</v>
      </c>
      <c r="E99" s="340" t="s">
        <v>481</v>
      </c>
      <c r="F99" s="340" t="s">
        <v>646</v>
      </c>
      <c r="G99" s="340" t="s">
        <v>8</v>
      </c>
      <c r="H99" s="340" t="s">
        <v>584</v>
      </c>
      <c r="I99" s="340" t="s">
        <v>584</v>
      </c>
      <c r="J99" s="340" t="s">
        <v>584</v>
      </c>
      <c r="K99" s="340" t="s">
        <v>584</v>
      </c>
      <c r="L99" s="340" t="s">
        <v>584</v>
      </c>
      <c r="M99" s="340" t="s">
        <v>584</v>
      </c>
      <c r="N99" s="340" t="s">
        <v>584</v>
      </c>
      <c r="O99" s="340" t="s">
        <v>584</v>
      </c>
      <c r="P99" s="340" t="s">
        <v>584</v>
      </c>
      <c r="Q99" s="340" t="s">
        <v>584</v>
      </c>
      <c r="R99" s="340" t="s">
        <v>584</v>
      </c>
      <c r="S99" s="340" t="s">
        <v>584</v>
      </c>
      <c r="T99" s="340" t="s">
        <v>584</v>
      </c>
      <c r="U99" s="340" t="s">
        <v>584</v>
      </c>
      <c r="V99" s="340" t="s">
        <v>584</v>
      </c>
    </row>
    <row r="100" spans="1:22" ht="15.75" x14ac:dyDescent="0.2">
      <c r="A100" s="339" t="s">
        <v>700</v>
      </c>
      <c r="B100" s="340" t="s">
        <v>13</v>
      </c>
      <c r="C100" s="340" t="s">
        <v>686</v>
      </c>
      <c r="D100" s="340" t="s">
        <v>481</v>
      </c>
      <c r="E100" s="340" t="s">
        <v>554</v>
      </c>
      <c r="F100" s="340" t="s">
        <v>24</v>
      </c>
      <c r="G100" s="340" t="s">
        <v>595</v>
      </c>
      <c r="H100" s="340" t="s">
        <v>596</v>
      </c>
      <c r="I100" s="340" t="s">
        <v>483</v>
      </c>
      <c r="J100" s="340" t="s">
        <v>214</v>
      </c>
      <c r="K100" s="340" t="s">
        <v>8</v>
      </c>
      <c r="L100" s="340" t="s">
        <v>584</v>
      </c>
      <c r="M100" s="340" t="s">
        <v>584</v>
      </c>
      <c r="N100" s="340" t="s">
        <v>584</v>
      </c>
      <c r="O100" s="340" t="s">
        <v>584</v>
      </c>
      <c r="P100" s="340" t="s">
        <v>584</v>
      </c>
      <c r="Q100" s="340" t="s">
        <v>584</v>
      </c>
      <c r="R100" s="340" t="s">
        <v>584</v>
      </c>
      <c r="S100" s="340" t="s">
        <v>584</v>
      </c>
      <c r="T100" s="340" t="s">
        <v>584</v>
      </c>
      <c r="U100" s="340" t="s">
        <v>584</v>
      </c>
      <c r="V100" s="340" t="s">
        <v>584</v>
      </c>
    </row>
    <row r="101" spans="1:22" ht="15.75" x14ac:dyDescent="0.2">
      <c r="A101" s="339" t="s">
        <v>701</v>
      </c>
      <c r="B101" s="340" t="s">
        <v>596</v>
      </c>
      <c r="C101" s="340" t="s">
        <v>646</v>
      </c>
      <c r="D101" s="340" t="s">
        <v>25</v>
      </c>
      <c r="E101" s="340" t="s">
        <v>595</v>
      </c>
      <c r="F101" s="340" t="s">
        <v>8</v>
      </c>
      <c r="G101" s="340" t="s">
        <v>483</v>
      </c>
      <c r="H101" s="340" t="s">
        <v>69</v>
      </c>
      <c r="I101" s="340" t="s">
        <v>584</v>
      </c>
      <c r="J101" s="340" t="s">
        <v>584</v>
      </c>
      <c r="K101" s="340" t="s">
        <v>584</v>
      </c>
      <c r="L101" s="340" t="s">
        <v>584</v>
      </c>
      <c r="M101" s="340" t="s">
        <v>584</v>
      </c>
      <c r="N101" s="340" t="s">
        <v>584</v>
      </c>
      <c r="O101" s="340" t="s">
        <v>584</v>
      </c>
      <c r="P101" s="340" t="s">
        <v>584</v>
      </c>
      <c r="Q101" s="340" t="s">
        <v>584</v>
      </c>
      <c r="R101" s="340" t="s">
        <v>584</v>
      </c>
      <c r="S101" s="340" t="s">
        <v>584</v>
      </c>
      <c r="T101" s="340" t="s">
        <v>584</v>
      </c>
      <c r="U101" s="340" t="s">
        <v>584</v>
      </c>
      <c r="V101" s="340" t="s">
        <v>584</v>
      </c>
    </row>
    <row r="102" spans="1:22" ht="15.75" x14ac:dyDescent="0.2">
      <c r="A102" s="339" t="s">
        <v>702</v>
      </c>
      <c r="B102" s="340" t="s">
        <v>13</v>
      </c>
      <c r="C102" s="340" t="s">
        <v>690</v>
      </c>
      <c r="D102" s="340" t="s">
        <v>214</v>
      </c>
      <c r="E102" s="340" t="s">
        <v>16</v>
      </c>
      <c r="F102" s="340" t="s">
        <v>646</v>
      </c>
      <c r="G102" s="340" t="s">
        <v>41</v>
      </c>
      <c r="H102" s="340" t="s">
        <v>69</v>
      </c>
      <c r="I102" s="340" t="s">
        <v>596</v>
      </c>
      <c r="J102" s="340" t="s">
        <v>483</v>
      </c>
      <c r="K102" s="340" t="s">
        <v>19</v>
      </c>
      <c r="L102" s="340" t="s">
        <v>584</v>
      </c>
      <c r="M102" s="340" t="s">
        <v>584</v>
      </c>
      <c r="N102" s="340" t="s">
        <v>584</v>
      </c>
      <c r="O102" s="340" t="s">
        <v>584</v>
      </c>
      <c r="P102" s="340" t="s">
        <v>584</v>
      </c>
      <c r="Q102" s="340" t="s">
        <v>584</v>
      </c>
      <c r="R102" s="340" t="s">
        <v>584</v>
      </c>
      <c r="S102" s="340" t="s">
        <v>584</v>
      </c>
      <c r="T102" s="340" t="s">
        <v>584</v>
      </c>
      <c r="U102" s="340" t="s">
        <v>584</v>
      </c>
      <c r="V102" s="340" t="s">
        <v>584</v>
      </c>
    </row>
    <row r="103" spans="1:22" ht="15" x14ac:dyDescent="0.2">
      <c r="A103" s="339" t="s">
        <v>390</v>
      </c>
      <c r="B103" s="340" t="s">
        <v>185</v>
      </c>
      <c r="C103" s="340" t="s">
        <v>38</v>
      </c>
      <c r="D103" s="340" t="s">
        <v>185</v>
      </c>
      <c r="E103" s="340" t="s">
        <v>584</v>
      </c>
      <c r="F103" s="340" t="s">
        <v>584</v>
      </c>
      <c r="G103" s="340" t="s">
        <v>584</v>
      </c>
      <c r="H103" s="340" t="s">
        <v>584</v>
      </c>
      <c r="I103" s="340" t="s">
        <v>584</v>
      </c>
      <c r="J103" s="340" t="s">
        <v>584</v>
      </c>
      <c r="K103" s="340" t="s">
        <v>584</v>
      </c>
      <c r="L103" s="340" t="s">
        <v>584</v>
      </c>
      <c r="M103" s="340" t="s">
        <v>584</v>
      </c>
      <c r="N103" s="340" t="s">
        <v>584</v>
      </c>
      <c r="O103" s="340" t="s">
        <v>584</v>
      </c>
      <c r="P103" s="340" t="s">
        <v>584</v>
      </c>
      <c r="Q103" s="340" t="s">
        <v>584</v>
      </c>
      <c r="R103" s="340" t="s">
        <v>584</v>
      </c>
      <c r="S103" s="340" t="s">
        <v>584</v>
      </c>
      <c r="T103" s="340" t="s">
        <v>584</v>
      </c>
      <c r="U103" s="340" t="s">
        <v>584</v>
      </c>
      <c r="V103" s="340" t="s">
        <v>584</v>
      </c>
    </row>
    <row r="104" spans="1:22" ht="15" x14ac:dyDescent="0.2">
      <c r="A104" s="339" t="s">
        <v>340</v>
      </c>
      <c r="B104" s="340" t="s">
        <v>378</v>
      </c>
      <c r="C104" s="340" t="s">
        <v>637</v>
      </c>
      <c r="D104" s="340" t="s">
        <v>1059</v>
      </c>
      <c r="E104" s="340" t="s">
        <v>482</v>
      </c>
      <c r="F104" s="340" t="s">
        <v>646</v>
      </c>
      <c r="G104" s="340" t="s">
        <v>24</v>
      </c>
      <c r="H104" s="340" t="s">
        <v>481</v>
      </c>
      <c r="I104" s="340" t="s">
        <v>10</v>
      </c>
      <c r="J104" s="340" t="s">
        <v>584</v>
      </c>
      <c r="K104" s="340" t="s">
        <v>584</v>
      </c>
      <c r="L104" s="340" t="s">
        <v>584</v>
      </c>
      <c r="M104" s="340" t="s">
        <v>584</v>
      </c>
      <c r="N104" s="340" t="s">
        <v>584</v>
      </c>
      <c r="O104" s="340" t="s">
        <v>584</v>
      </c>
      <c r="P104" s="340" t="s">
        <v>584</v>
      </c>
      <c r="Q104" s="340" t="s">
        <v>584</v>
      </c>
      <c r="R104" s="340" t="s">
        <v>584</v>
      </c>
      <c r="S104" s="340" t="s">
        <v>584</v>
      </c>
      <c r="T104" s="340" t="s">
        <v>584</v>
      </c>
      <c r="U104" s="340" t="s">
        <v>584</v>
      </c>
      <c r="V104" s="340" t="s">
        <v>584</v>
      </c>
    </row>
    <row r="105" spans="1:22" ht="15" x14ac:dyDescent="0.2">
      <c r="A105" s="339" t="s">
        <v>341</v>
      </c>
      <c r="B105" s="340" t="s">
        <v>25</v>
      </c>
      <c r="C105" s="340" t="s">
        <v>219</v>
      </c>
      <c r="D105" s="340" t="s">
        <v>481</v>
      </c>
      <c r="E105" s="340" t="s">
        <v>8</v>
      </c>
      <c r="F105" s="340" t="s">
        <v>91</v>
      </c>
      <c r="G105" s="340" t="s">
        <v>648</v>
      </c>
      <c r="H105" s="340" t="s">
        <v>569</v>
      </c>
      <c r="I105" s="340" t="s">
        <v>584</v>
      </c>
      <c r="J105" s="340" t="s">
        <v>584</v>
      </c>
      <c r="K105" s="340" t="s">
        <v>584</v>
      </c>
      <c r="L105" s="340" t="s">
        <v>584</v>
      </c>
      <c r="M105" s="340" t="s">
        <v>584</v>
      </c>
      <c r="N105" s="340" t="s">
        <v>584</v>
      </c>
      <c r="O105" s="340" t="s">
        <v>584</v>
      </c>
      <c r="P105" s="340" t="s">
        <v>584</v>
      </c>
      <c r="Q105" s="340" t="s">
        <v>584</v>
      </c>
      <c r="R105" s="340" t="s">
        <v>584</v>
      </c>
      <c r="S105" s="340" t="s">
        <v>584</v>
      </c>
      <c r="T105" s="340" t="s">
        <v>584</v>
      </c>
      <c r="U105" s="340" t="s">
        <v>584</v>
      </c>
      <c r="V105" s="340" t="s">
        <v>584</v>
      </c>
    </row>
    <row r="106" spans="1:22" ht="30" x14ac:dyDescent="0.2">
      <c r="A106" s="339" t="s">
        <v>703</v>
      </c>
      <c r="B106" s="340" t="s">
        <v>378</v>
      </c>
      <c r="C106" s="340" t="s">
        <v>23</v>
      </c>
      <c r="D106" s="340" t="s">
        <v>10</v>
      </c>
      <c r="E106" s="340" t="s">
        <v>24</v>
      </c>
      <c r="F106" s="340" t="s">
        <v>34</v>
      </c>
      <c r="G106" s="340" t="s">
        <v>646</v>
      </c>
      <c r="H106" s="340" t="s">
        <v>16</v>
      </c>
      <c r="I106" s="340" t="s">
        <v>584</v>
      </c>
      <c r="J106" s="340" t="s">
        <v>584</v>
      </c>
      <c r="K106" s="340" t="s">
        <v>584</v>
      </c>
      <c r="L106" s="340" t="s">
        <v>584</v>
      </c>
      <c r="M106" s="340" t="s">
        <v>584</v>
      </c>
      <c r="N106" s="340" t="s">
        <v>584</v>
      </c>
      <c r="O106" s="340" t="s">
        <v>584</v>
      </c>
      <c r="P106" s="340" t="s">
        <v>584</v>
      </c>
      <c r="Q106" s="340" t="s">
        <v>584</v>
      </c>
      <c r="R106" s="340" t="s">
        <v>584</v>
      </c>
      <c r="S106" s="340" t="s">
        <v>584</v>
      </c>
      <c r="T106" s="340" t="s">
        <v>584</v>
      </c>
      <c r="U106" s="340" t="s">
        <v>584</v>
      </c>
      <c r="V106" s="340" t="s">
        <v>584</v>
      </c>
    </row>
    <row r="107" spans="1:22" ht="15" x14ac:dyDescent="0.2">
      <c r="A107" s="339" t="s">
        <v>704</v>
      </c>
      <c r="B107" s="340" t="s">
        <v>378</v>
      </c>
      <c r="C107" s="340" t="s">
        <v>637</v>
      </c>
      <c r="D107" s="340" t="s">
        <v>34</v>
      </c>
      <c r="E107" s="340" t="s">
        <v>8</v>
      </c>
      <c r="F107" s="340" t="s">
        <v>10</v>
      </c>
      <c r="G107" s="340" t="s">
        <v>646</v>
      </c>
      <c r="H107" s="340" t="s">
        <v>584</v>
      </c>
      <c r="I107" s="340" t="s">
        <v>584</v>
      </c>
      <c r="J107" s="340" t="s">
        <v>584</v>
      </c>
      <c r="K107" s="340" t="s">
        <v>584</v>
      </c>
      <c r="L107" s="340" t="s">
        <v>584</v>
      </c>
      <c r="M107" s="340" t="s">
        <v>584</v>
      </c>
      <c r="N107" s="340" t="s">
        <v>584</v>
      </c>
      <c r="O107" s="340" t="s">
        <v>584</v>
      </c>
      <c r="P107" s="340" t="s">
        <v>584</v>
      </c>
      <c r="Q107" s="340" t="s">
        <v>584</v>
      </c>
      <c r="R107" s="340" t="s">
        <v>584</v>
      </c>
      <c r="S107" s="340" t="s">
        <v>584</v>
      </c>
      <c r="T107" s="340" t="s">
        <v>584</v>
      </c>
      <c r="U107" s="340" t="s">
        <v>584</v>
      </c>
      <c r="V107" s="340" t="s">
        <v>584</v>
      </c>
    </row>
    <row r="108" spans="1:22" ht="15" x14ac:dyDescent="0.2">
      <c r="A108" s="339" t="s">
        <v>705</v>
      </c>
      <c r="B108" s="340" t="s">
        <v>91</v>
      </c>
      <c r="C108" s="340" t="s">
        <v>648</v>
      </c>
      <c r="D108" s="340" t="s">
        <v>637</v>
      </c>
      <c r="E108" s="340" t="s">
        <v>646</v>
      </c>
      <c r="F108" s="340" t="s">
        <v>8</v>
      </c>
      <c r="G108" s="340" t="s">
        <v>584</v>
      </c>
      <c r="H108" s="340" t="s">
        <v>584</v>
      </c>
      <c r="I108" s="340" t="s">
        <v>584</v>
      </c>
      <c r="J108" s="340" t="s">
        <v>584</v>
      </c>
      <c r="K108" s="340" t="s">
        <v>584</v>
      </c>
      <c r="L108" s="340" t="s">
        <v>584</v>
      </c>
      <c r="M108" s="340" t="s">
        <v>584</v>
      </c>
      <c r="N108" s="340" t="s">
        <v>584</v>
      </c>
      <c r="O108" s="340" t="s">
        <v>584</v>
      </c>
      <c r="P108" s="340" t="s">
        <v>584</v>
      </c>
      <c r="Q108" s="340" t="s">
        <v>584</v>
      </c>
      <c r="R108" s="340" t="s">
        <v>584</v>
      </c>
      <c r="S108" s="340" t="s">
        <v>584</v>
      </c>
      <c r="T108" s="340" t="s">
        <v>584</v>
      </c>
      <c r="U108" s="340" t="s">
        <v>584</v>
      </c>
      <c r="V108" s="340" t="s">
        <v>584</v>
      </c>
    </row>
    <row r="109" spans="1:22" ht="15" x14ac:dyDescent="0.2">
      <c r="A109" s="339" t="s">
        <v>706</v>
      </c>
      <c r="B109" s="338" t="s">
        <v>378</v>
      </c>
      <c r="C109" s="338" t="s">
        <v>19</v>
      </c>
      <c r="D109" s="338" t="s">
        <v>10</v>
      </c>
      <c r="E109" s="338" t="s">
        <v>24</v>
      </c>
      <c r="F109" s="338" t="s">
        <v>646</v>
      </c>
      <c r="G109" s="338" t="s">
        <v>584</v>
      </c>
      <c r="H109" s="338" t="s">
        <v>584</v>
      </c>
      <c r="I109" s="338" t="s">
        <v>584</v>
      </c>
      <c r="J109" s="338" t="s">
        <v>584</v>
      </c>
      <c r="K109" s="338" t="s">
        <v>584</v>
      </c>
      <c r="L109" s="338" t="s">
        <v>584</v>
      </c>
      <c r="M109" s="338" t="s">
        <v>584</v>
      </c>
      <c r="N109" s="338" t="s">
        <v>584</v>
      </c>
      <c r="O109" s="338" t="s">
        <v>584</v>
      </c>
      <c r="P109" s="338" t="s">
        <v>584</v>
      </c>
      <c r="Q109" s="338" t="s">
        <v>584</v>
      </c>
      <c r="R109" s="338" t="s">
        <v>584</v>
      </c>
      <c r="S109" s="338" t="s">
        <v>584</v>
      </c>
      <c r="T109" s="338" t="s">
        <v>584</v>
      </c>
      <c r="U109" s="338" t="s">
        <v>584</v>
      </c>
      <c r="V109" s="338" t="s">
        <v>584</v>
      </c>
    </row>
    <row r="110" spans="1:22" ht="15" x14ac:dyDescent="0.2">
      <c r="A110" s="339" t="s">
        <v>707</v>
      </c>
      <c r="B110" s="340" t="s">
        <v>637</v>
      </c>
      <c r="C110" s="340" t="s">
        <v>8</v>
      </c>
      <c r="D110" s="340" t="s">
        <v>24</v>
      </c>
      <c r="E110" s="340" t="s">
        <v>16</v>
      </c>
      <c r="F110" s="340" t="s">
        <v>646</v>
      </c>
      <c r="G110" s="340" t="s">
        <v>584</v>
      </c>
      <c r="H110" s="340" t="s">
        <v>584</v>
      </c>
      <c r="I110" s="340" t="s">
        <v>584</v>
      </c>
      <c r="J110" s="340" t="s">
        <v>584</v>
      </c>
      <c r="K110" s="340" t="s">
        <v>584</v>
      </c>
      <c r="L110" s="340" t="s">
        <v>584</v>
      </c>
      <c r="M110" s="340" t="s">
        <v>584</v>
      </c>
      <c r="N110" s="340" t="s">
        <v>584</v>
      </c>
      <c r="O110" s="340" t="s">
        <v>584</v>
      </c>
      <c r="P110" s="340" t="s">
        <v>584</v>
      </c>
      <c r="Q110" s="340" t="s">
        <v>584</v>
      </c>
      <c r="R110" s="340" t="s">
        <v>584</v>
      </c>
      <c r="S110" s="340" t="s">
        <v>584</v>
      </c>
      <c r="T110" s="340" t="s">
        <v>584</v>
      </c>
      <c r="U110" s="340" t="s">
        <v>584</v>
      </c>
      <c r="V110" s="340" t="s">
        <v>584</v>
      </c>
    </row>
    <row r="111" spans="1:22" ht="15" x14ac:dyDescent="0.2">
      <c r="A111" s="339" t="s">
        <v>399</v>
      </c>
      <c r="B111" s="340" t="s">
        <v>637</v>
      </c>
      <c r="C111" s="340" t="s">
        <v>646</v>
      </c>
      <c r="D111" s="340" t="s">
        <v>8</v>
      </c>
      <c r="E111" s="340" t="s">
        <v>584</v>
      </c>
      <c r="F111" s="340" t="s">
        <v>584</v>
      </c>
      <c r="G111" s="340" t="s">
        <v>584</v>
      </c>
      <c r="H111" s="340" t="s">
        <v>584</v>
      </c>
      <c r="I111" s="340" t="s">
        <v>584</v>
      </c>
      <c r="J111" s="340" t="s">
        <v>584</v>
      </c>
      <c r="K111" s="340" t="s">
        <v>584</v>
      </c>
      <c r="L111" s="340" t="s">
        <v>584</v>
      </c>
      <c r="M111" s="340" t="s">
        <v>584</v>
      </c>
      <c r="N111" s="340" t="s">
        <v>584</v>
      </c>
      <c r="O111" s="340" t="s">
        <v>584</v>
      </c>
      <c r="P111" s="340" t="s">
        <v>584</v>
      </c>
      <c r="Q111" s="340" t="s">
        <v>584</v>
      </c>
      <c r="R111" s="340" t="s">
        <v>584</v>
      </c>
      <c r="S111" s="340" t="s">
        <v>584</v>
      </c>
      <c r="T111" s="340" t="s">
        <v>584</v>
      </c>
      <c r="U111" s="340" t="s">
        <v>584</v>
      </c>
      <c r="V111" s="340" t="s">
        <v>584</v>
      </c>
    </row>
    <row r="112" spans="1:22" ht="15" x14ac:dyDescent="0.2">
      <c r="A112" s="339" t="s">
        <v>400</v>
      </c>
      <c r="B112" s="338" t="s">
        <v>637</v>
      </c>
      <c r="C112" s="338" t="s">
        <v>378</v>
      </c>
      <c r="D112" s="338" t="s">
        <v>10</v>
      </c>
      <c r="E112" s="338" t="s">
        <v>24</v>
      </c>
      <c r="F112" s="338" t="s">
        <v>646</v>
      </c>
      <c r="G112" s="338" t="s">
        <v>23</v>
      </c>
      <c r="H112" s="338" t="s">
        <v>584</v>
      </c>
      <c r="I112" s="338" t="s">
        <v>584</v>
      </c>
      <c r="J112" s="338" t="s">
        <v>584</v>
      </c>
      <c r="K112" s="338" t="s">
        <v>584</v>
      </c>
      <c r="L112" s="338" t="s">
        <v>584</v>
      </c>
      <c r="M112" s="338" t="s">
        <v>584</v>
      </c>
      <c r="N112" s="338" t="s">
        <v>584</v>
      </c>
      <c r="O112" s="338" t="s">
        <v>584</v>
      </c>
      <c r="P112" s="338" t="s">
        <v>584</v>
      </c>
      <c r="Q112" s="338" t="s">
        <v>584</v>
      </c>
      <c r="R112" s="338" t="s">
        <v>584</v>
      </c>
      <c r="S112" s="338" t="s">
        <v>584</v>
      </c>
      <c r="T112" s="338" t="s">
        <v>584</v>
      </c>
      <c r="U112" s="338" t="s">
        <v>584</v>
      </c>
      <c r="V112" s="338" t="s">
        <v>584</v>
      </c>
    </row>
    <row r="113" spans="1:22" ht="15" x14ac:dyDescent="0.2">
      <c r="A113" s="339" t="s">
        <v>708</v>
      </c>
      <c r="B113" s="338" t="s">
        <v>8</v>
      </c>
      <c r="C113" s="338" t="s">
        <v>486</v>
      </c>
      <c r="D113" s="338" t="s">
        <v>16</v>
      </c>
      <c r="E113" s="338" t="s">
        <v>637</v>
      </c>
      <c r="F113" s="338" t="s">
        <v>646</v>
      </c>
      <c r="G113" s="338" t="s">
        <v>584</v>
      </c>
      <c r="H113" s="338" t="s">
        <v>584</v>
      </c>
      <c r="I113" s="338" t="s">
        <v>584</v>
      </c>
      <c r="J113" s="338" t="s">
        <v>584</v>
      </c>
      <c r="K113" s="338" t="s">
        <v>584</v>
      </c>
      <c r="L113" s="338" t="s">
        <v>584</v>
      </c>
      <c r="M113" s="338" t="s">
        <v>584</v>
      </c>
      <c r="N113" s="338" t="s">
        <v>584</v>
      </c>
      <c r="O113" s="338" t="s">
        <v>584</v>
      </c>
      <c r="P113" s="338" t="s">
        <v>584</v>
      </c>
      <c r="Q113" s="338" t="s">
        <v>584</v>
      </c>
      <c r="R113" s="338" t="s">
        <v>584</v>
      </c>
      <c r="S113" s="338" t="s">
        <v>584</v>
      </c>
      <c r="T113" s="338" t="s">
        <v>584</v>
      </c>
      <c r="U113" s="338" t="s">
        <v>584</v>
      </c>
      <c r="V113" s="338" t="s">
        <v>584</v>
      </c>
    </row>
    <row r="114" spans="1:22" ht="15" x14ac:dyDescent="0.2">
      <c r="A114" s="339" t="s">
        <v>709</v>
      </c>
      <c r="B114" s="338" t="s">
        <v>637</v>
      </c>
      <c r="C114" s="338" t="s">
        <v>16</v>
      </c>
      <c r="D114" s="338" t="s">
        <v>8</v>
      </c>
      <c r="E114" s="338" t="s">
        <v>483</v>
      </c>
      <c r="F114" s="338" t="s">
        <v>584</v>
      </c>
      <c r="G114" s="338" t="s">
        <v>584</v>
      </c>
      <c r="H114" s="338" t="s">
        <v>584</v>
      </c>
      <c r="I114" s="338" t="s">
        <v>584</v>
      </c>
      <c r="J114" s="338" t="s">
        <v>584</v>
      </c>
      <c r="K114" s="338" t="s">
        <v>584</v>
      </c>
      <c r="L114" s="338" t="s">
        <v>584</v>
      </c>
      <c r="M114" s="338" t="s">
        <v>584</v>
      </c>
      <c r="N114" s="338" t="s">
        <v>584</v>
      </c>
      <c r="O114" s="338" t="s">
        <v>584</v>
      </c>
      <c r="P114" s="338" t="s">
        <v>584</v>
      </c>
      <c r="Q114" s="338" t="s">
        <v>584</v>
      </c>
      <c r="R114" s="338" t="s">
        <v>584</v>
      </c>
      <c r="S114" s="338" t="s">
        <v>584</v>
      </c>
      <c r="T114" s="338" t="s">
        <v>584</v>
      </c>
      <c r="U114" s="338" t="s">
        <v>584</v>
      </c>
      <c r="V114" s="338" t="s">
        <v>584</v>
      </c>
    </row>
    <row r="115" spans="1:22" ht="15" x14ac:dyDescent="0.2">
      <c r="A115" s="339" t="s">
        <v>342</v>
      </c>
      <c r="B115" s="338" t="s">
        <v>64</v>
      </c>
      <c r="C115" s="338" t="s">
        <v>16</v>
      </c>
      <c r="D115" s="338" t="s">
        <v>41</v>
      </c>
      <c r="E115" s="338" t="s">
        <v>584</v>
      </c>
      <c r="F115" s="338" t="s">
        <v>584</v>
      </c>
      <c r="G115" s="338" t="s">
        <v>584</v>
      </c>
      <c r="H115" s="338" t="s">
        <v>584</v>
      </c>
      <c r="I115" s="338" t="s">
        <v>584</v>
      </c>
      <c r="J115" s="338" t="s">
        <v>584</v>
      </c>
      <c r="K115" s="338" t="s">
        <v>584</v>
      </c>
      <c r="L115" s="338" t="s">
        <v>584</v>
      </c>
      <c r="M115" s="338" t="s">
        <v>584</v>
      </c>
      <c r="N115" s="338" t="s">
        <v>584</v>
      </c>
      <c r="O115" s="338" t="s">
        <v>584</v>
      </c>
      <c r="P115" s="338" t="s">
        <v>584</v>
      </c>
      <c r="Q115" s="338" t="s">
        <v>584</v>
      </c>
      <c r="R115" s="338" t="s">
        <v>584</v>
      </c>
      <c r="S115" s="338" t="s">
        <v>584</v>
      </c>
      <c r="T115" s="338" t="s">
        <v>584</v>
      </c>
      <c r="U115" s="338" t="s">
        <v>584</v>
      </c>
      <c r="V115" s="338" t="s">
        <v>584</v>
      </c>
    </row>
    <row r="116" spans="1:22" ht="15" x14ac:dyDescent="0.2">
      <c r="A116" s="339" t="s">
        <v>710</v>
      </c>
      <c r="B116" s="338" t="s">
        <v>559</v>
      </c>
      <c r="C116" s="338" t="s">
        <v>219</v>
      </c>
      <c r="D116" s="338" t="s">
        <v>566</v>
      </c>
      <c r="E116" s="338" t="s">
        <v>595</v>
      </c>
      <c r="F116" s="338" t="s">
        <v>558</v>
      </c>
      <c r="G116" s="338" t="s">
        <v>19</v>
      </c>
      <c r="H116" s="338" t="s">
        <v>30</v>
      </c>
      <c r="I116" s="338" t="s">
        <v>711</v>
      </c>
      <c r="J116" s="338" t="s">
        <v>8</v>
      </c>
      <c r="K116" s="338" t="s">
        <v>21</v>
      </c>
      <c r="L116" s="338" t="s">
        <v>16</v>
      </c>
      <c r="M116" s="338" t="s">
        <v>36</v>
      </c>
      <c r="N116" s="338" t="s">
        <v>10</v>
      </c>
      <c r="O116" s="338" t="s">
        <v>563</v>
      </c>
      <c r="P116" s="338" t="s">
        <v>554</v>
      </c>
      <c r="Q116" s="338" t="s">
        <v>646</v>
      </c>
      <c r="R116" s="338" t="s">
        <v>41</v>
      </c>
      <c r="S116" s="338" t="s">
        <v>584</v>
      </c>
      <c r="T116" s="338" t="s">
        <v>584</v>
      </c>
      <c r="U116" s="338" t="s">
        <v>584</v>
      </c>
      <c r="V116" s="338" t="s">
        <v>584</v>
      </c>
    </row>
    <row r="117" spans="1:22" ht="15" x14ac:dyDescent="0.2">
      <c r="A117" s="339" t="s">
        <v>343</v>
      </c>
      <c r="B117" s="338" t="s">
        <v>685</v>
      </c>
      <c r="C117" s="338" t="s">
        <v>177</v>
      </c>
      <c r="D117" s="338" t="s">
        <v>595</v>
      </c>
      <c r="E117" s="338" t="s">
        <v>558</v>
      </c>
      <c r="F117" s="338" t="s">
        <v>38</v>
      </c>
      <c r="G117" s="338" t="s">
        <v>25</v>
      </c>
      <c r="H117" s="338" t="s">
        <v>21</v>
      </c>
      <c r="I117" s="338" t="s">
        <v>16</v>
      </c>
      <c r="J117" s="338" t="s">
        <v>40</v>
      </c>
      <c r="K117" s="338" t="s">
        <v>10</v>
      </c>
      <c r="L117" s="338" t="s">
        <v>68</v>
      </c>
      <c r="M117" s="338" t="s">
        <v>563</v>
      </c>
      <c r="N117" s="338" t="s">
        <v>24</v>
      </c>
      <c r="O117" s="338" t="s">
        <v>482</v>
      </c>
      <c r="P117" s="338" t="s">
        <v>205</v>
      </c>
      <c r="Q117" s="338" t="s">
        <v>41</v>
      </c>
      <c r="R117" s="338" t="s">
        <v>584</v>
      </c>
      <c r="S117" s="338" t="s">
        <v>584</v>
      </c>
      <c r="T117" s="338" t="s">
        <v>584</v>
      </c>
      <c r="U117" s="338" t="s">
        <v>584</v>
      </c>
      <c r="V117" s="338" t="s">
        <v>584</v>
      </c>
    </row>
    <row r="118" spans="1:22" ht="15" x14ac:dyDescent="0.2">
      <c r="A118" s="341" t="s">
        <v>403</v>
      </c>
      <c r="B118" s="338" t="s">
        <v>8</v>
      </c>
      <c r="C118" s="338" t="s">
        <v>646</v>
      </c>
      <c r="D118" s="338" t="s">
        <v>637</v>
      </c>
      <c r="E118" s="338" t="s">
        <v>584</v>
      </c>
      <c r="F118" s="338" t="s">
        <v>584</v>
      </c>
      <c r="G118" s="338" t="s">
        <v>584</v>
      </c>
      <c r="H118" s="338" t="s">
        <v>584</v>
      </c>
      <c r="I118" s="338" t="s">
        <v>584</v>
      </c>
      <c r="J118" s="338" t="s">
        <v>584</v>
      </c>
      <c r="K118" s="338" t="s">
        <v>584</v>
      </c>
      <c r="L118" s="338" t="s">
        <v>584</v>
      </c>
      <c r="M118" s="338" t="s">
        <v>584</v>
      </c>
      <c r="N118" s="338" t="s">
        <v>584</v>
      </c>
      <c r="O118" s="338" t="s">
        <v>584</v>
      </c>
      <c r="P118" s="338" t="s">
        <v>584</v>
      </c>
      <c r="Q118" s="338" t="s">
        <v>584</v>
      </c>
      <c r="R118" s="338" t="s">
        <v>584</v>
      </c>
      <c r="S118" s="338" t="s">
        <v>584</v>
      </c>
      <c r="T118" s="338" t="s">
        <v>584</v>
      </c>
      <c r="U118" s="338" t="s">
        <v>584</v>
      </c>
      <c r="V118" s="338" t="s">
        <v>584</v>
      </c>
    </row>
    <row r="119" spans="1:22" ht="15.75" x14ac:dyDescent="0.2">
      <c r="A119" s="341" t="s">
        <v>404</v>
      </c>
      <c r="B119" s="338" t="s">
        <v>10</v>
      </c>
      <c r="C119" s="338" t="s">
        <v>646</v>
      </c>
      <c r="D119" s="338" t="s">
        <v>8</v>
      </c>
      <c r="E119" s="338" t="s">
        <v>584</v>
      </c>
      <c r="F119" s="338" t="s">
        <v>584</v>
      </c>
      <c r="G119" s="338" t="s">
        <v>584</v>
      </c>
      <c r="H119" s="338" t="s">
        <v>584</v>
      </c>
      <c r="I119" s="338" t="s">
        <v>584</v>
      </c>
      <c r="J119" s="338" t="s">
        <v>584</v>
      </c>
      <c r="K119" s="338" t="s">
        <v>584</v>
      </c>
      <c r="L119" s="338" t="s">
        <v>584</v>
      </c>
      <c r="M119" s="338" t="s">
        <v>584</v>
      </c>
      <c r="N119" s="338" t="s">
        <v>584</v>
      </c>
      <c r="O119" s="338" t="s">
        <v>584</v>
      </c>
      <c r="P119" s="338" t="s">
        <v>584</v>
      </c>
      <c r="Q119" s="338" t="s">
        <v>584</v>
      </c>
      <c r="R119" s="338" t="s">
        <v>584</v>
      </c>
      <c r="S119" s="338" t="s">
        <v>584</v>
      </c>
      <c r="T119" s="338" t="s">
        <v>584</v>
      </c>
      <c r="U119" s="338" t="s">
        <v>584</v>
      </c>
      <c r="V119" s="338" t="s">
        <v>584</v>
      </c>
    </row>
    <row r="120" spans="1:22" ht="30" x14ac:dyDescent="0.2">
      <c r="A120" s="341" t="s">
        <v>456</v>
      </c>
      <c r="B120" s="338" t="s">
        <v>481</v>
      </c>
      <c r="C120" s="338" t="s">
        <v>23</v>
      </c>
      <c r="D120" s="338" t="s">
        <v>24</v>
      </c>
      <c r="E120" s="338" t="s">
        <v>1059</v>
      </c>
      <c r="F120" s="338" t="s">
        <v>584</v>
      </c>
      <c r="G120" s="338" t="s">
        <v>584</v>
      </c>
      <c r="H120" s="338" t="s">
        <v>584</v>
      </c>
      <c r="I120" s="338" t="s">
        <v>584</v>
      </c>
      <c r="J120" s="338" t="s">
        <v>584</v>
      </c>
      <c r="K120" s="338" t="s">
        <v>584</v>
      </c>
      <c r="L120" s="338" t="s">
        <v>584</v>
      </c>
      <c r="M120" s="338" t="s">
        <v>584</v>
      </c>
      <c r="N120" s="338" t="s">
        <v>584</v>
      </c>
      <c r="O120" s="338" t="s">
        <v>584</v>
      </c>
      <c r="P120" s="338" t="s">
        <v>584</v>
      </c>
      <c r="Q120" s="338" t="s">
        <v>584</v>
      </c>
      <c r="R120" s="338" t="s">
        <v>584</v>
      </c>
      <c r="S120" s="338" t="s">
        <v>584</v>
      </c>
      <c r="T120" s="338" t="s">
        <v>584</v>
      </c>
      <c r="U120" s="338" t="s">
        <v>584</v>
      </c>
      <c r="V120" s="338" t="s">
        <v>584</v>
      </c>
    </row>
    <row r="121" spans="1:22" ht="15" x14ac:dyDescent="0.2">
      <c r="A121" s="341" t="s">
        <v>405</v>
      </c>
      <c r="B121" s="338" t="s">
        <v>10</v>
      </c>
      <c r="C121" s="338" t="s">
        <v>646</v>
      </c>
      <c r="D121" s="338" t="s">
        <v>8</v>
      </c>
      <c r="E121" s="338" t="s">
        <v>637</v>
      </c>
      <c r="F121" s="338" t="s">
        <v>378</v>
      </c>
      <c r="G121" s="338" t="s">
        <v>584</v>
      </c>
      <c r="H121" s="338" t="s">
        <v>584</v>
      </c>
      <c r="I121" s="338" t="s">
        <v>584</v>
      </c>
      <c r="J121" s="338" t="s">
        <v>584</v>
      </c>
      <c r="K121" s="338" t="s">
        <v>584</v>
      </c>
      <c r="L121" s="338" t="s">
        <v>584</v>
      </c>
      <c r="M121" s="338" t="s">
        <v>584</v>
      </c>
      <c r="N121" s="338" t="s">
        <v>584</v>
      </c>
      <c r="O121" s="338" t="s">
        <v>584</v>
      </c>
      <c r="P121" s="338" t="s">
        <v>584</v>
      </c>
      <c r="Q121" s="338" t="s">
        <v>584</v>
      </c>
      <c r="R121" s="338" t="s">
        <v>584</v>
      </c>
      <c r="S121" s="338" t="s">
        <v>584</v>
      </c>
      <c r="T121" s="338" t="s">
        <v>584</v>
      </c>
      <c r="U121" s="338" t="s">
        <v>584</v>
      </c>
      <c r="V121" s="338" t="s">
        <v>584</v>
      </c>
    </row>
    <row r="122" spans="1:22" ht="15" x14ac:dyDescent="0.2">
      <c r="A122" s="341" t="s">
        <v>503</v>
      </c>
      <c r="B122" s="338" t="s">
        <v>481</v>
      </c>
      <c r="C122" s="338" t="s">
        <v>646</v>
      </c>
      <c r="D122" s="338" t="s">
        <v>637</v>
      </c>
      <c r="E122" s="338" t="s">
        <v>686</v>
      </c>
      <c r="F122" s="338" t="s">
        <v>25</v>
      </c>
      <c r="G122" s="338" t="s">
        <v>8</v>
      </c>
      <c r="H122" s="338" t="s">
        <v>24</v>
      </c>
      <c r="I122" s="338" t="s">
        <v>378</v>
      </c>
      <c r="J122" s="338" t="s">
        <v>19</v>
      </c>
      <c r="K122" s="338" t="s">
        <v>214</v>
      </c>
      <c r="L122" s="338" t="s">
        <v>483</v>
      </c>
      <c r="M122" s="338" t="s">
        <v>584</v>
      </c>
      <c r="N122" s="338" t="s">
        <v>584</v>
      </c>
      <c r="O122" s="338" t="s">
        <v>584</v>
      </c>
      <c r="P122" s="338" t="s">
        <v>584</v>
      </c>
      <c r="Q122" s="338" t="s">
        <v>584</v>
      </c>
      <c r="R122" s="338" t="s">
        <v>584</v>
      </c>
      <c r="S122" s="338" t="s">
        <v>584</v>
      </c>
      <c r="T122" s="338" t="s">
        <v>584</v>
      </c>
      <c r="U122" s="338" t="s">
        <v>584</v>
      </c>
      <c r="V122" s="338" t="s">
        <v>584</v>
      </c>
    </row>
    <row r="123" spans="1:22" ht="15" x14ac:dyDescent="0.2">
      <c r="A123" s="341" t="s">
        <v>44</v>
      </c>
      <c r="B123" s="338" t="s">
        <v>10</v>
      </c>
      <c r="C123" s="338" t="s">
        <v>24</v>
      </c>
      <c r="D123" s="338" t="s">
        <v>8</v>
      </c>
      <c r="E123" s="338" t="s">
        <v>584</v>
      </c>
      <c r="F123" s="338" t="s">
        <v>584</v>
      </c>
      <c r="G123" s="338" t="s">
        <v>584</v>
      </c>
      <c r="H123" s="338" t="s">
        <v>584</v>
      </c>
      <c r="I123" s="338" t="s">
        <v>584</v>
      </c>
      <c r="J123" s="338" t="s">
        <v>584</v>
      </c>
      <c r="K123" s="338" t="s">
        <v>584</v>
      </c>
      <c r="L123" s="338" t="s">
        <v>584</v>
      </c>
      <c r="M123" s="338" t="s">
        <v>584</v>
      </c>
      <c r="N123" s="338" t="s">
        <v>584</v>
      </c>
      <c r="O123" s="338" t="s">
        <v>584</v>
      </c>
      <c r="P123" s="338" t="s">
        <v>584</v>
      </c>
      <c r="Q123" s="338" t="s">
        <v>584</v>
      </c>
      <c r="R123" s="338" t="s">
        <v>584</v>
      </c>
      <c r="S123" s="338" t="s">
        <v>584</v>
      </c>
      <c r="T123" s="338" t="s">
        <v>584</v>
      </c>
      <c r="U123" s="338" t="s">
        <v>584</v>
      </c>
      <c r="V123" s="338" t="s">
        <v>584</v>
      </c>
    </row>
    <row r="124" spans="1:22" ht="15" x14ac:dyDescent="0.2">
      <c r="A124" s="341" t="s">
        <v>45</v>
      </c>
      <c r="B124" s="338" t="s">
        <v>648</v>
      </c>
      <c r="C124" s="338" t="s">
        <v>10</v>
      </c>
      <c r="D124" s="338" t="s">
        <v>8</v>
      </c>
      <c r="E124" s="338" t="s">
        <v>584</v>
      </c>
      <c r="F124" s="338" t="s">
        <v>584</v>
      </c>
      <c r="G124" s="338" t="s">
        <v>584</v>
      </c>
      <c r="H124" s="338" t="s">
        <v>584</v>
      </c>
      <c r="I124" s="338" t="s">
        <v>584</v>
      </c>
      <c r="J124" s="338" t="s">
        <v>584</v>
      </c>
      <c r="K124" s="338" t="s">
        <v>584</v>
      </c>
      <c r="L124" s="338" t="s">
        <v>584</v>
      </c>
      <c r="M124" s="338" t="s">
        <v>584</v>
      </c>
      <c r="N124" s="338" t="s">
        <v>584</v>
      </c>
      <c r="O124" s="338" t="s">
        <v>584</v>
      </c>
      <c r="P124" s="338" t="s">
        <v>584</v>
      </c>
      <c r="Q124" s="338" t="s">
        <v>584</v>
      </c>
      <c r="R124" s="338" t="s">
        <v>584</v>
      </c>
      <c r="S124" s="338" t="s">
        <v>584</v>
      </c>
      <c r="T124" s="338" t="s">
        <v>584</v>
      </c>
      <c r="U124" s="338" t="s">
        <v>584</v>
      </c>
      <c r="V124" s="338" t="s">
        <v>584</v>
      </c>
    </row>
    <row r="125" spans="1:22" ht="15" x14ac:dyDescent="0.2">
      <c r="A125" s="341" t="s">
        <v>406</v>
      </c>
      <c r="B125" s="338" t="s">
        <v>8</v>
      </c>
      <c r="C125" s="338" t="s">
        <v>24</v>
      </c>
      <c r="D125" s="338" t="s">
        <v>646</v>
      </c>
      <c r="E125" s="338" t="s">
        <v>34</v>
      </c>
      <c r="F125" s="338" t="s">
        <v>686</v>
      </c>
      <c r="G125" s="338" t="s">
        <v>378</v>
      </c>
      <c r="H125" s="338" t="s">
        <v>19</v>
      </c>
      <c r="I125" s="338" t="s">
        <v>584</v>
      </c>
      <c r="J125" s="338" t="s">
        <v>584</v>
      </c>
      <c r="K125" s="338" t="s">
        <v>584</v>
      </c>
      <c r="L125" s="338" t="s">
        <v>584</v>
      </c>
      <c r="M125" s="338" t="s">
        <v>584</v>
      </c>
      <c r="N125" s="338" t="s">
        <v>584</v>
      </c>
      <c r="O125" s="338" t="s">
        <v>584</v>
      </c>
      <c r="P125" s="338" t="s">
        <v>584</v>
      </c>
      <c r="Q125" s="338" t="s">
        <v>584</v>
      </c>
      <c r="R125" s="338" t="s">
        <v>584</v>
      </c>
      <c r="S125" s="338" t="s">
        <v>584</v>
      </c>
      <c r="T125" s="338" t="s">
        <v>584</v>
      </c>
      <c r="U125" s="338" t="s">
        <v>584</v>
      </c>
      <c r="V125" s="338" t="s">
        <v>584</v>
      </c>
    </row>
    <row r="126" spans="1:22" ht="15.75" x14ac:dyDescent="0.2">
      <c r="A126" s="341" t="s">
        <v>407</v>
      </c>
      <c r="B126" s="338" t="s">
        <v>8</v>
      </c>
      <c r="C126" s="338" t="s">
        <v>24</v>
      </c>
      <c r="D126" s="338" t="s">
        <v>646</v>
      </c>
      <c r="E126" s="338" t="s">
        <v>34</v>
      </c>
      <c r="F126" s="338" t="s">
        <v>686</v>
      </c>
      <c r="G126" s="338" t="s">
        <v>378</v>
      </c>
      <c r="H126" s="338" t="s">
        <v>19</v>
      </c>
      <c r="I126" s="338" t="s">
        <v>584</v>
      </c>
      <c r="J126" s="338" t="s">
        <v>584</v>
      </c>
      <c r="K126" s="338" t="s">
        <v>584</v>
      </c>
      <c r="L126" s="338" t="s">
        <v>584</v>
      </c>
      <c r="M126" s="338" t="s">
        <v>584</v>
      </c>
      <c r="N126" s="338" t="s">
        <v>584</v>
      </c>
      <c r="O126" s="338" t="s">
        <v>584</v>
      </c>
      <c r="P126" s="338" t="s">
        <v>584</v>
      </c>
      <c r="Q126" s="338" t="s">
        <v>584</v>
      </c>
      <c r="R126" s="338" t="s">
        <v>584</v>
      </c>
      <c r="S126" s="338" t="s">
        <v>584</v>
      </c>
      <c r="T126" s="338" t="s">
        <v>584</v>
      </c>
      <c r="U126" s="338" t="s">
        <v>584</v>
      </c>
      <c r="V126" s="338" t="s">
        <v>584</v>
      </c>
    </row>
    <row r="127" spans="1:22" ht="15" x14ac:dyDescent="0.2">
      <c r="A127" s="341" t="s">
        <v>504</v>
      </c>
      <c r="B127" s="338" t="s">
        <v>554</v>
      </c>
      <c r="C127" s="338" t="s">
        <v>481</v>
      </c>
      <c r="D127" s="338" t="s">
        <v>646</v>
      </c>
      <c r="E127" s="338" t="s">
        <v>91</v>
      </c>
      <c r="F127" s="338" t="s">
        <v>483</v>
      </c>
      <c r="G127" s="338" t="s">
        <v>584</v>
      </c>
      <c r="H127" s="338" t="s">
        <v>584</v>
      </c>
      <c r="I127" s="338" t="s">
        <v>584</v>
      </c>
      <c r="J127" s="338" t="s">
        <v>584</v>
      </c>
      <c r="K127" s="338" t="s">
        <v>584</v>
      </c>
      <c r="L127" s="338" t="s">
        <v>584</v>
      </c>
      <c r="M127" s="338" t="s">
        <v>584</v>
      </c>
      <c r="N127" s="338" t="s">
        <v>584</v>
      </c>
      <c r="O127" s="338" t="s">
        <v>584</v>
      </c>
      <c r="P127" s="338" t="s">
        <v>584</v>
      </c>
      <c r="Q127" s="338" t="s">
        <v>584</v>
      </c>
      <c r="R127" s="338" t="s">
        <v>584</v>
      </c>
      <c r="S127" s="338" t="s">
        <v>584</v>
      </c>
      <c r="T127" s="338" t="s">
        <v>584</v>
      </c>
      <c r="U127" s="338" t="s">
        <v>584</v>
      </c>
      <c r="V127" s="338" t="s">
        <v>584</v>
      </c>
    </row>
    <row r="128" spans="1:22" ht="15" x14ac:dyDescent="0.2">
      <c r="A128" s="341" t="s">
        <v>79</v>
      </c>
      <c r="B128" s="338" t="s">
        <v>685</v>
      </c>
      <c r="C128" s="338" t="s">
        <v>689</v>
      </c>
      <c r="D128" s="338" t="s">
        <v>688</v>
      </c>
      <c r="E128" s="338" t="s">
        <v>168</v>
      </c>
      <c r="F128" s="338" t="s">
        <v>584</v>
      </c>
      <c r="G128" s="338" t="s">
        <v>584</v>
      </c>
      <c r="H128" s="338" t="s">
        <v>584</v>
      </c>
      <c r="I128" s="338" t="s">
        <v>584</v>
      </c>
      <c r="J128" s="338" t="s">
        <v>584</v>
      </c>
      <c r="K128" s="338" t="s">
        <v>584</v>
      </c>
      <c r="L128" s="338" t="s">
        <v>584</v>
      </c>
      <c r="M128" s="338" t="s">
        <v>584</v>
      </c>
      <c r="N128" s="338" t="s">
        <v>584</v>
      </c>
      <c r="O128" s="338" t="s">
        <v>584</v>
      </c>
      <c r="P128" s="338" t="s">
        <v>584</v>
      </c>
      <c r="Q128" s="338" t="s">
        <v>584</v>
      </c>
      <c r="R128" s="338" t="s">
        <v>584</v>
      </c>
      <c r="S128" s="338" t="s">
        <v>584</v>
      </c>
      <c r="T128" s="338" t="s">
        <v>584</v>
      </c>
      <c r="U128" s="338" t="s">
        <v>584</v>
      </c>
      <c r="V128" s="338" t="s">
        <v>584</v>
      </c>
    </row>
    <row r="129" spans="1:22" ht="15" x14ac:dyDescent="0.2">
      <c r="A129" s="341" t="s">
        <v>80</v>
      </c>
      <c r="B129" s="338" t="s">
        <v>595</v>
      </c>
      <c r="C129" s="338" t="s">
        <v>38</v>
      </c>
      <c r="D129" s="338" t="s">
        <v>16</v>
      </c>
      <c r="E129" s="338" t="s">
        <v>646</v>
      </c>
      <c r="F129" s="338" t="s">
        <v>24</v>
      </c>
      <c r="G129" s="338" t="s">
        <v>10</v>
      </c>
      <c r="H129" s="338" t="s">
        <v>131</v>
      </c>
      <c r="I129" s="338" t="s">
        <v>584</v>
      </c>
      <c r="J129" s="338" t="s">
        <v>584</v>
      </c>
      <c r="K129" s="338" t="s">
        <v>584</v>
      </c>
      <c r="L129" s="338" t="s">
        <v>584</v>
      </c>
      <c r="M129" s="338" t="s">
        <v>584</v>
      </c>
      <c r="N129" s="338" t="s">
        <v>584</v>
      </c>
      <c r="O129" s="338" t="s">
        <v>584</v>
      </c>
      <c r="P129" s="338" t="s">
        <v>584</v>
      </c>
      <c r="Q129" s="338" t="s">
        <v>584</v>
      </c>
      <c r="R129" s="338" t="s">
        <v>584</v>
      </c>
      <c r="S129" s="338" t="s">
        <v>584</v>
      </c>
      <c r="T129" s="338" t="s">
        <v>584</v>
      </c>
      <c r="U129" s="338" t="s">
        <v>584</v>
      </c>
      <c r="V129" s="338" t="s">
        <v>584</v>
      </c>
    </row>
    <row r="130" spans="1:22" ht="15.75" x14ac:dyDescent="0.2">
      <c r="A130" s="341" t="s">
        <v>505</v>
      </c>
      <c r="B130" s="338" t="s">
        <v>595</v>
      </c>
      <c r="C130" s="338" t="s">
        <v>38</v>
      </c>
      <c r="D130" s="338" t="s">
        <v>16</v>
      </c>
      <c r="E130" s="338" t="s">
        <v>646</v>
      </c>
      <c r="F130" s="338" t="s">
        <v>24</v>
      </c>
      <c r="G130" s="338" t="s">
        <v>10</v>
      </c>
      <c r="H130" s="338" t="s">
        <v>131</v>
      </c>
      <c r="I130" s="338" t="s">
        <v>584</v>
      </c>
      <c r="J130" s="338" t="s">
        <v>584</v>
      </c>
      <c r="K130" s="338" t="s">
        <v>584</v>
      </c>
      <c r="L130" s="338" t="s">
        <v>584</v>
      </c>
      <c r="M130" s="338" t="s">
        <v>584</v>
      </c>
      <c r="N130" s="338" t="s">
        <v>584</v>
      </c>
      <c r="O130" s="338" t="s">
        <v>584</v>
      </c>
      <c r="P130" s="338" t="s">
        <v>584</v>
      </c>
      <c r="Q130" s="338" t="s">
        <v>584</v>
      </c>
      <c r="R130" s="338" t="s">
        <v>584</v>
      </c>
      <c r="S130" s="338" t="s">
        <v>584</v>
      </c>
      <c r="T130" s="338" t="s">
        <v>584</v>
      </c>
      <c r="U130" s="338" t="s">
        <v>584</v>
      </c>
      <c r="V130" s="338" t="s">
        <v>584</v>
      </c>
    </row>
    <row r="131" spans="1:22" ht="15" x14ac:dyDescent="0.2">
      <c r="A131" s="341" t="s">
        <v>506</v>
      </c>
      <c r="B131" s="338" t="s">
        <v>381</v>
      </c>
      <c r="C131" s="338" t="s">
        <v>686</v>
      </c>
      <c r="D131" s="338" t="s">
        <v>268</v>
      </c>
      <c r="E131" s="338" t="s">
        <v>481</v>
      </c>
      <c r="F131" s="338" t="s">
        <v>13</v>
      </c>
      <c r="G131" s="338" t="s">
        <v>557</v>
      </c>
      <c r="H131" s="338" t="s">
        <v>584</v>
      </c>
      <c r="I131" s="338" t="s">
        <v>584</v>
      </c>
      <c r="J131" s="338" t="s">
        <v>584</v>
      </c>
      <c r="K131" s="338" t="s">
        <v>584</v>
      </c>
      <c r="L131" s="338" t="s">
        <v>584</v>
      </c>
      <c r="M131" s="338" t="s">
        <v>584</v>
      </c>
      <c r="N131" s="338" t="s">
        <v>584</v>
      </c>
      <c r="O131" s="338" t="s">
        <v>584</v>
      </c>
      <c r="P131" s="338" t="s">
        <v>584</v>
      </c>
      <c r="Q131" s="338" t="s">
        <v>584</v>
      </c>
      <c r="R131" s="338" t="s">
        <v>584</v>
      </c>
      <c r="S131" s="338" t="s">
        <v>584</v>
      </c>
      <c r="T131" s="338" t="s">
        <v>584</v>
      </c>
      <c r="U131" s="338" t="s">
        <v>584</v>
      </c>
      <c r="V131" s="338" t="s">
        <v>584</v>
      </c>
    </row>
    <row r="132" spans="1:22" ht="15.75" x14ac:dyDescent="0.2">
      <c r="A132" s="341" t="s">
        <v>408</v>
      </c>
      <c r="B132" s="338" t="s">
        <v>73</v>
      </c>
      <c r="C132" s="338" t="s">
        <v>13</v>
      </c>
      <c r="D132" s="338" t="s">
        <v>381</v>
      </c>
      <c r="E132" s="338" t="s">
        <v>686</v>
      </c>
      <c r="F132" s="338" t="s">
        <v>268</v>
      </c>
      <c r="G132" s="338" t="s">
        <v>481</v>
      </c>
      <c r="H132" s="338" t="s">
        <v>584</v>
      </c>
      <c r="I132" s="338" t="s">
        <v>584</v>
      </c>
      <c r="J132" s="338" t="s">
        <v>584</v>
      </c>
      <c r="K132" s="338" t="s">
        <v>584</v>
      </c>
      <c r="L132" s="338" t="s">
        <v>584</v>
      </c>
      <c r="M132" s="338" t="s">
        <v>584</v>
      </c>
      <c r="N132" s="338" t="s">
        <v>584</v>
      </c>
      <c r="O132" s="338" t="s">
        <v>584</v>
      </c>
      <c r="P132" s="338" t="s">
        <v>584</v>
      </c>
      <c r="Q132" s="338" t="s">
        <v>584</v>
      </c>
      <c r="R132" s="338" t="s">
        <v>584</v>
      </c>
      <c r="S132" s="338" t="s">
        <v>584</v>
      </c>
      <c r="T132" s="338" t="s">
        <v>584</v>
      </c>
      <c r="U132" s="338" t="s">
        <v>584</v>
      </c>
      <c r="V132" s="338" t="s">
        <v>584</v>
      </c>
    </row>
    <row r="133" spans="1:22" ht="30" x14ac:dyDescent="0.2">
      <c r="A133" s="341" t="s">
        <v>81</v>
      </c>
      <c r="B133" s="338" t="s">
        <v>16</v>
      </c>
      <c r="C133" s="338" t="s">
        <v>30</v>
      </c>
      <c r="D133" s="338" t="s">
        <v>21</v>
      </c>
      <c r="E133" s="338" t="s">
        <v>66</v>
      </c>
      <c r="F133" s="338" t="s">
        <v>646</v>
      </c>
      <c r="G133" s="338" t="s">
        <v>19</v>
      </c>
      <c r="H133" s="338" t="s">
        <v>711</v>
      </c>
      <c r="I133" s="338" t="s">
        <v>584</v>
      </c>
      <c r="J133" s="338" t="s">
        <v>584</v>
      </c>
      <c r="K133" s="338" t="s">
        <v>584</v>
      </c>
      <c r="L133" s="338" t="s">
        <v>584</v>
      </c>
      <c r="M133" s="338" t="s">
        <v>584</v>
      </c>
      <c r="N133" s="338" t="s">
        <v>584</v>
      </c>
      <c r="O133" s="338" t="s">
        <v>584</v>
      </c>
      <c r="P133" s="338" t="s">
        <v>584</v>
      </c>
      <c r="Q133" s="338" t="s">
        <v>584</v>
      </c>
      <c r="R133" s="338" t="s">
        <v>584</v>
      </c>
      <c r="S133" s="338" t="s">
        <v>584</v>
      </c>
      <c r="T133" s="338" t="s">
        <v>584</v>
      </c>
      <c r="U133" s="338" t="s">
        <v>584</v>
      </c>
      <c r="V133" s="338" t="s">
        <v>584</v>
      </c>
    </row>
    <row r="134" spans="1:22" ht="15" x14ac:dyDescent="0.2">
      <c r="A134" s="341" t="s">
        <v>82</v>
      </c>
      <c r="B134" s="338" t="s">
        <v>21</v>
      </c>
      <c r="C134" s="338" t="s">
        <v>30</v>
      </c>
      <c r="D134" s="338" t="s">
        <v>38</v>
      </c>
      <c r="E134" s="338" t="s">
        <v>70</v>
      </c>
      <c r="F134" s="338" t="s">
        <v>16</v>
      </c>
      <c r="G134" s="338" t="s">
        <v>66</v>
      </c>
      <c r="H134" s="338" t="s">
        <v>558</v>
      </c>
      <c r="I134" s="338" t="s">
        <v>19</v>
      </c>
      <c r="J134" s="338" t="s">
        <v>34</v>
      </c>
      <c r="K134" s="338" t="s">
        <v>584</v>
      </c>
      <c r="L134" s="338" t="s">
        <v>584</v>
      </c>
      <c r="M134" s="338" t="s">
        <v>584</v>
      </c>
      <c r="N134" s="338" t="s">
        <v>584</v>
      </c>
      <c r="O134" s="338" t="s">
        <v>584</v>
      </c>
      <c r="P134" s="338" t="s">
        <v>584</v>
      </c>
      <c r="Q134" s="338" t="s">
        <v>584</v>
      </c>
      <c r="R134" s="338" t="s">
        <v>584</v>
      </c>
      <c r="S134" s="338" t="s">
        <v>584</v>
      </c>
      <c r="T134" s="338" t="s">
        <v>584</v>
      </c>
      <c r="U134" s="338" t="s">
        <v>584</v>
      </c>
      <c r="V134" s="338" t="s">
        <v>584</v>
      </c>
    </row>
    <row r="135" spans="1:22" ht="15" x14ac:dyDescent="0.2">
      <c r="A135" s="341" t="s">
        <v>83</v>
      </c>
      <c r="B135" s="338" t="s">
        <v>16</v>
      </c>
      <c r="C135" s="338" t="s">
        <v>10</v>
      </c>
      <c r="D135" s="338" t="s">
        <v>21</v>
      </c>
      <c r="E135" s="338" t="s">
        <v>30</v>
      </c>
      <c r="F135" s="338" t="s">
        <v>711</v>
      </c>
      <c r="G135" s="338" t="s">
        <v>67</v>
      </c>
      <c r="H135" s="338" t="s">
        <v>378</v>
      </c>
      <c r="I135" s="338" t="s">
        <v>558</v>
      </c>
      <c r="J135" s="338" t="s">
        <v>646</v>
      </c>
      <c r="K135" s="338" t="s">
        <v>566</v>
      </c>
      <c r="L135" s="338" t="s">
        <v>560</v>
      </c>
      <c r="M135" s="338" t="s">
        <v>559</v>
      </c>
      <c r="N135" s="338" t="s">
        <v>584</v>
      </c>
      <c r="O135" s="338" t="s">
        <v>584</v>
      </c>
      <c r="P135" s="338" t="s">
        <v>584</v>
      </c>
      <c r="Q135" s="338" t="s">
        <v>584</v>
      </c>
      <c r="R135" s="338" t="s">
        <v>584</v>
      </c>
      <c r="S135" s="338" t="s">
        <v>584</v>
      </c>
      <c r="T135" s="338" t="s">
        <v>584</v>
      </c>
      <c r="U135" s="338" t="s">
        <v>584</v>
      </c>
      <c r="V135" s="338" t="s">
        <v>584</v>
      </c>
    </row>
    <row r="136" spans="1:22" ht="15" x14ac:dyDescent="0.2">
      <c r="A136" s="341" t="s">
        <v>345</v>
      </c>
      <c r="B136" s="338" t="s">
        <v>10</v>
      </c>
      <c r="C136" s="338" t="s">
        <v>131</v>
      </c>
      <c r="D136" s="338" t="s">
        <v>554</v>
      </c>
      <c r="E136" s="338" t="s">
        <v>36</v>
      </c>
      <c r="F136" s="338" t="s">
        <v>30</v>
      </c>
      <c r="G136" s="338" t="s">
        <v>33</v>
      </c>
      <c r="H136" s="338" t="s">
        <v>16</v>
      </c>
      <c r="I136" s="338" t="s">
        <v>21</v>
      </c>
      <c r="J136" s="338" t="s">
        <v>8</v>
      </c>
      <c r="K136" s="338" t="s">
        <v>646</v>
      </c>
      <c r="L136" s="338" t="s">
        <v>595</v>
      </c>
      <c r="M136" s="338" t="s">
        <v>67</v>
      </c>
      <c r="N136" s="338" t="s">
        <v>558</v>
      </c>
      <c r="O136" s="338" t="s">
        <v>566</v>
      </c>
      <c r="P136" s="338" t="s">
        <v>559</v>
      </c>
      <c r="Q136" s="338" t="s">
        <v>19</v>
      </c>
      <c r="R136" s="338" t="s">
        <v>219</v>
      </c>
      <c r="S136" s="338" t="s">
        <v>584</v>
      </c>
      <c r="T136" s="338" t="s">
        <v>584</v>
      </c>
      <c r="U136" s="338" t="s">
        <v>584</v>
      </c>
      <c r="V136" s="338" t="s">
        <v>584</v>
      </c>
    </row>
    <row r="137" spans="1:22" ht="15" x14ac:dyDescent="0.2">
      <c r="A137" s="341" t="s">
        <v>84</v>
      </c>
      <c r="B137" s="338" t="s">
        <v>38</v>
      </c>
      <c r="C137" s="338" t="s">
        <v>16</v>
      </c>
      <c r="D137" s="338" t="s">
        <v>8</v>
      </c>
      <c r="E137" s="338" t="s">
        <v>25</v>
      </c>
      <c r="F137" s="338" t="s">
        <v>584</v>
      </c>
      <c r="G137" s="338" t="s">
        <v>584</v>
      </c>
      <c r="H137" s="338" t="s">
        <v>584</v>
      </c>
      <c r="I137" s="338" t="s">
        <v>584</v>
      </c>
      <c r="J137" s="338" t="s">
        <v>584</v>
      </c>
      <c r="K137" s="338" t="s">
        <v>584</v>
      </c>
      <c r="L137" s="338" t="s">
        <v>584</v>
      </c>
      <c r="M137" s="338" t="s">
        <v>584</v>
      </c>
      <c r="N137" s="338" t="s">
        <v>584</v>
      </c>
      <c r="O137" s="338" t="s">
        <v>584</v>
      </c>
      <c r="P137" s="338" t="s">
        <v>584</v>
      </c>
      <c r="Q137" s="338" t="s">
        <v>584</v>
      </c>
      <c r="R137" s="338" t="s">
        <v>584</v>
      </c>
      <c r="S137" s="338" t="s">
        <v>584</v>
      </c>
      <c r="T137" s="338" t="s">
        <v>584</v>
      </c>
      <c r="U137" s="338" t="s">
        <v>584</v>
      </c>
      <c r="V137" s="338" t="s">
        <v>584</v>
      </c>
    </row>
    <row r="138" spans="1:22" ht="15" x14ac:dyDescent="0.2">
      <c r="A138" s="341" t="s">
        <v>85</v>
      </c>
      <c r="B138" s="338" t="s">
        <v>685</v>
      </c>
      <c r="C138" s="338" t="s">
        <v>185</v>
      </c>
      <c r="D138" s="338" t="s">
        <v>711</v>
      </c>
      <c r="E138" s="338" t="s">
        <v>584</v>
      </c>
      <c r="F138" s="338" t="s">
        <v>584</v>
      </c>
      <c r="G138" s="338" t="s">
        <v>584</v>
      </c>
      <c r="H138" s="338" t="s">
        <v>584</v>
      </c>
      <c r="I138" s="338" t="s">
        <v>584</v>
      </c>
      <c r="J138" s="338" t="s">
        <v>584</v>
      </c>
      <c r="K138" s="338" t="s">
        <v>584</v>
      </c>
      <c r="L138" s="338" t="s">
        <v>584</v>
      </c>
      <c r="M138" s="338" t="s">
        <v>584</v>
      </c>
      <c r="N138" s="338" t="s">
        <v>584</v>
      </c>
      <c r="O138" s="338" t="s">
        <v>584</v>
      </c>
      <c r="P138" s="338" t="s">
        <v>584</v>
      </c>
      <c r="Q138" s="338" t="s">
        <v>584</v>
      </c>
      <c r="R138" s="338" t="s">
        <v>584</v>
      </c>
      <c r="S138" s="338" t="s">
        <v>584</v>
      </c>
      <c r="T138" s="338" t="s">
        <v>584</v>
      </c>
      <c r="U138" s="338" t="s">
        <v>584</v>
      </c>
      <c r="V138" s="338" t="s">
        <v>584</v>
      </c>
    </row>
    <row r="139" spans="1:22" ht="15" x14ac:dyDescent="0.2">
      <c r="A139" s="341" t="s">
        <v>410</v>
      </c>
      <c r="B139" s="338" t="s">
        <v>41</v>
      </c>
      <c r="C139" s="338" t="s">
        <v>690</v>
      </c>
      <c r="D139" s="338" t="s">
        <v>584</v>
      </c>
      <c r="E139" s="338" t="s">
        <v>584</v>
      </c>
      <c r="F139" s="338" t="s">
        <v>584</v>
      </c>
      <c r="G139" s="338" t="s">
        <v>584</v>
      </c>
      <c r="H139" s="338" t="s">
        <v>584</v>
      </c>
      <c r="I139" s="338" t="s">
        <v>584</v>
      </c>
      <c r="J139" s="338" t="s">
        <v>584</v>
      </c>
      <c r="K139" s="338" t="s">
        <v>584</v>
      </c>
      <c r="L139" s="338" t="s">
        <v>584</v>
      </c>
      <c r="M139" s="338" t="s">
        <v>584</v>
      </c>
      <c r="N139" s="338" t="s">
        <v>584</v>
      </c>
      <c r="O139" s="338" t="s">
        <v>584</v>
      </c>
      <c r="P139" s="338" t="s">
        <v>584</v>
      </c>
      <c r="Q139" s="338" t="s">
        <v>584</v>
      </c>
      <c r="R139" s="338" t="s">
        <v>584</v>
      </c>
      <c r="S139" s="338" t="s">
        <v>584</v>
      </c>
      <c r="T139" s="338" t="s">
        <v>584</v>
      </c>
      <c r="U139" s="338" t="s">
        <v>584</v>
      </c>
      <c r="V139" s="338" t="s">
        <v>584</v>
      </c>
    </row>
    <row r="140" spans="1:22" ht="15.75" x14ac:dyDescent="0.2">
      <c r="A140" s="341" t="s">
        <v>411</v>
      </c>
      <c r="B140" s="338" t="s">
        <v>41</v>
      </c>
      <c r="C140" s="338" t="s">
        <v>690</v>
      </c>
      <c r="D140" s="338" t="s">
        <v>584</v>
      </c>
      <c r="E140" s="338" t="s">
        <v>584</v>
      </c>
      <c r="F140" s="338" t="s">
        <v>584</v>
      </c>
      <c r="G140" s="338" t="s">
        <v>584</v>
      </c>
      <c r="H140" s="338" t="s">
        <v>584</v>
      </c>
      <c r="I140" s="338" t="s">
        <v>584</v>
      </c>
      <c r="J140" s="338" t="s">
        <v>584</v>
      </c>
      <c r="K140" s="338" t="s">
        <v>584</v>
      </c>
      <c r="L140" s="338" t="s">
        <v>584</v>
      </c>
      <c r="M140" s="338" t="s">
        <v>584</v>
      </c>
      <c r="N140" s="338" t="s">
        <v>584</v>
      </c>
      <c r="O140" s="338" t="s">
        <v>584</v>
      </c>
      <c r="P140" s="338" t="s">
        <v>584</v>
      </c>
      <c r="Q140" s="338" t="s">
        <v>584</v>
      </c>
      <c r="R140" s="338" t="s">
        <v>584</v>
      </c>
      <c r="S140" s="338" t="s">
        <v>584</v>
      </c>
      <c r="T140" s="338" t="s">
        <v>584</v>
      </c>
      <c r="U140" s="338" t="s">
        <v>584</v>
      </c>
      <c r="V140" s="338" t="s">
        <v>584</v>
      </c>
    </row>
    <row r="141" spans="1:22" ht="30" x14ac:dyDescent="0.2">
      <c r="A141" s="341" t="s">
        <v>50</v>
      </c>
      <c r="B141" s="338" t="s">
        <v>485</v>
      </c>
      <c r="C141" s="338" t="s">
        <v>64</v>
      </c>
      <c r="D141" s="338" t="s">
        <v>8</v>
      </c>
      <c r="E141" s="338" t="s">
        <v>25</v>
      </c>
      <c r="F141" s="338" t="s">
        <v>584</v>
      </c>
      <c r="G141" s="338" t="s">
        <v>584</v>
      </c>
      <c r="H141" s="338" t="s">
        <v>584</v>
      </c>
      <c r="I141" s="338" t="s">
        <v>584</v>
      </c>
      <c r="J141" s="338" t="s">
        <v>584</v>
      </c>
      <c r="K141" s="338" t="s">
        <v>584</v>
      </c>
      <c r="L141" s="338" t="s">
        <v>584</v>
      </c>
      <c r="M141" s="338" t="s">
        <v>584</v>
      </c>
      <c r="N141" s="338" t="s">
        <v>584</v>
      </c>
      <c r="O141" s="338" t="s">
        <v>584</v>
      </c>
      <c r="P141" s="338" t="s">
        <v>584</v>
      </c>
      <c r="Q141" s="338" t="s">
        <v>584</v>
      </c>
      <c r="R141" s="338" t="s">
        <v>584</v>
      </c>
      <c r="S141" s="338" t="s">
        <v>584</v>
      </c>
      <c r="T141" s="338" t="s">
        <v>584</v>
      </c>
      <c r="U141" s="338" t="s">
        <v>584</v>
      </c>
      <c r="V141" s="338" t="s">
        <v>584</v>
      </c>
    </row>
    <row r="142" spans="1:22" ht="15" x14ac:dyDescent="0.2">
      <c r="A142" s="341" t="s">
        <v>56</v>
      </c>
      <c r="B142" s="338" t="s">
        <v>185</v>
      </c>
      <c r="C142" s="338" t="s">
        <v>64</v>
      </c>
      <c r="D142" s="338" t="s">
        <v>41</v>
      </c>
      <c r="E142" s="338" t="s">
        <v>16</v>
      </c>
      <c r="F142" s="338" t="s">
        <v>584</v>
      </c>
      <c r="G142" s="338" t="s">
        <v>584</v>
      </c>
      <c r="H142" s="338" t="s">
        <v>584</v>
      </c>
      <c r="I142" s="338" t="s">
        <v>584</v>
      </c>
      <c r="J142" s="338" t="s">
        <v>584</v>
      </c>
      <c r="K142" s="338" t="s">
        <v>584</v>
      </c>
      <c r="L142" s="338" t="s">
        <v>584</v>
      </c>
      <c r="M142" s="338" t="s">
        <v>584</v>
      </c>
      <c r="N142" s="338" t="s">
        <v>584</v>
      </c>
      <c r="O142" s="338" t="s">
        <v>584</v>
      </c>
      <c r="P142" s="338" t="s">
        <v>584</v>
      </c>
      <c r="Q142" s="338" t="s">
        <v>584</v>
      </c>
      <c r="R142" s="338" t="s">
        <v>584</v>
      </c>
      <c r="S142" s="338" t="s">
        <v>584</v>
      </c>
      <c r="T142" s="338" t="s">
        <v>584</v>
      </c>
      <c r="U142" s="338" t="s">
        <v>584</v>
      </c>
      <c r="V142" s="338" t="s">
        <v>584</v>
      </c>
    </row>
    <row r="143" spans="1:22" ht="15.75" x14ac:dyDescent="0.2">
      <c r="A143" s="341" t="s">
        <v>412</v>
      </c>
      <c r="B143" s="338" t="s">
        <v>185</v>
      </c>
      <c r="C143" s="338" t="s">
        <v>64</v>
      </c>
      <c r="D143" s="338" t="s">
        <v>41</v>
      </c>
      <c r="E143" s="338" t="s">
        <v>16</v>
      </c>
      <c r="F143" s="338" t="s">
        <v>584</v>
      </c>
      <c r="G143" s="338" t="s">
        <v>584</v>
      </c>
      <c r="H143" s="338" t="s">
        <v>584</v>
      </c>
      <c r="I143" s="338" t="s">
        <v>584</v>
      </c>
      <c r="J143" s="338" t="s">
        <v>584</v>
      </c>
      <c r="K143" s="338" t="s">
        <v>584</v>
      </c>
      <c r="L143" s="338" t="s">
        <v>584</v>
      </c>
      <c r="M143" s="338" t="s">
        <v>584</v>
      </c>
      <c r="N143" s="338" t="s">
        <v>584</v>
      </c>
      <c r="O143" s="338" t="s">
        <v>584</v>
      </c>
      <c r="P143" s="338" t="s">
        <v>584</v>
      </c>
      <c r="Q143" s="338" t="s">
        <v>584</v>
      </c>
      <c r="R143" s="338" t="s">
        <v>584</v>
      </c>
      <c r="S143" s="338" t="s">
        <v>584</v>
      </c>
      <c r="T143" s="338" t="s">
        <v>584</v>
      </c>
      <c r="U143" s="338" t="s">
        <v>584</v>
      </c>
      <c r="V143" s="338" t="s">
        <v>584</v>
      </c>
    </row>
    <row r="144" spans="1:22" ht="15" x14ac:dyDescent="0.2">
      <c r="A144" s="342" t="s">
        <v>349</v>
      </c>
      <c r="B144" s="338" t="s">
        <v>686</v>
      </c>
      <c r="C144" s="338" t="s">
        <v>483</v>
      </c>
      <c r="D144" s="338" t="s">
        <v>37</v>
      </c>
      <c r="E144" s="338" t="s">
        <v>8</v>
      </c>
      <c r="F144" s="338" t="s">
        <v>637</v>
      </c>
      <c r="G144" s="338" t="s">
        <v>23</v>
      </c>
      <c r="H144" s="338" t="s">
        <v>92</v>
      </c>
      <c r="I144" s="338" t="s">
        <v>584</v>
      </c>
      <c r="J144" s="338" t="s">
        <v>584</v>
      </c>
      <c r="K144" s="338" t="s">
        <v>584</v>
      </c>
      <c r="L144" s="338" t="s">
        <v>584</v>
      </c>
      <c r="M144" s="338" t="s">
        <v>584</v>
      </c>
      <c r="N144" s="338" t="s">
        <v>584</v>
      </c>
      <c r="O144" s="338" t="s">
        <v>584</v>
      </c>
      <c r="P144" s="338" t="s">
        <v>584</v>
      </c>
      <c r="Q144" s="338" t="s">
        <v>584</v>
      </c>
      <c r="R144" s="338" t="s">
        <v>584</v>
      </c>
      <c r="S144" s="338" t="s">
        <v>584</v>
      </c>
      <c r="T144" s="338" t="s">
        <v>584</v>
      </c>
      <c r="U144" s="338" t="s">
        <v>584</v>
      </c>
      <c r="V144" s="338" t="s">
        <v>584</v>
      </c>
    </row>
    <row r="145" spans="1:22" ht="15" x14ac:dyDescent="0.2">
      <c r="A145" s="342" t="s">
        <v>418</v>
      </c>
      <c r="B145" s="338" t="s">
        <v>646</v>
      </c>
      <c r="C145" s="338" t="s">
        <v>637</v>
      </c>
      <c r="D145" s="338" t="s">
        <v>23</v>
      </c>
      <c r="E145" s="338" t="s">
        <v>483</v>
      </c>
      <c r="F145" s="338" t="s">
        <v>37</v>
      </c>
      <c r="G145" s="338" t="s">
        <v>92</v>
      </c>
      <c r="H145" s="338" t="s">
        <v>386</v>
      </c>
      <c r="I145" s="338" t="s">
        <v>584</v>
      </c>
      <c r="J145" s="338" t="s">
        <v>584</v>
      </c>
      <c r="K145" s="338" t="s">
        <v>584</v>
      </c>
      <c r="L145" s="338" t="s">
        <v>584</v>
      </c>
      <c r="M145" s="338" t="s">
        <v>584</v>
      </c>
      <c r="N145" s="338" t="s">
        <v>584</v>
      </c>
      <c r="O145" s="338" t="s">
        <v>584</v>
      </c>
      <c r="P145" s="338" t="s">
        <v>584</v>
      </c>
      <c r="Q145" s="338" t="s">
        <v>584</v>
      </c>
      <c r="R145" s="338" t="s">
        <v>584</v>
      </c>
      <c r="S145" s="338" t="s">
        <v>584</v>
      </c>
      <c r="T145" s="338" t="s">
        <v>584</v>
      </c>
      <c r="U145" s="338" t="s">
        <v>584</v>
      </c>
      <c r="V145" s="338" t="s">
        <v>584</v>
      </c>
    </row>
    <row r="146" spans="1:22" ht="15" x14ac:dyDescent="0.2">
      <c r="A146" s="342" t="s">
        <v>54</v>
      </c>
      <c r="B146" s="338" t="s">
        <v>686</v>
      </c>
      <c r="C146" s="338" t="s">
        <v>13</v>
      </c>
      <c r="D146" s="338" t="s">
        <v>557</v>
      </c>
      <c r="E146" s="338" t="s">
        <v>554</v>
      </c>
      <c r="F146" s="338" t="s">
        <v>565</v>
      </c>
      <c r="G146" s="338" t="s">
        <v>37</v>
      </c>
      <c r="H146" s="338" t="s">
        <v>214</v>
      </c>
      <c r="I146" s="338" t="s">
        <v>584</v>
      </c>
      <c r="J146" s="338" t="s">
        <v>584</v>
      </c>
      <c r="K146" s="338" t="s">
        <v>584</v>
      </c>
      <c r="L146" s="338" t="s">
        <v>584</v>
      </c>
      <c r="M146" s="338" t="s">
        <v>584</v>
      </c>
      <c r="N146" s="338" t="s">
        <v>584</v>
      </c>
      <c r="O146" s="338" t="s">
        <v>584</v>
      </c>
      <c r="P146" s="338" t="s">
        <v>584</v>
      </c>
      <c r="Q146" s="338" t="s">
        <v>584</v>
      </c>
      <c r="R146" s="338" t="s">
        <v>584</v>
      </c>
      <c r="S146" s="338" t="s">
        <v>584</v>
      </c>
      <c r="T146" s="338" t="s">
        <v>584</v>
      </c>
      <c r="U146" s="338" t="s">
        <v>584</v>
      </c>
      <c r="V146" s="338" t="s">
        <v>584</v>
      </c>
    </row>
    <row r="147" spans="1:22" ht="15" x14ac:dyDescent="0.2">
      <c r="A147" s="342" t="s">
        <v>351</v>
      </c>
      <c r="B147" s="338" t="s">
        <v>27</v>
      </c>
      <c r="C147" s="338" t="s">
        <v>686</v>
      </c>
      <c r="D147" s="338" t="s">
        <v>8</v>
      </c>
      <c r="E147" s="338" t="s">
        <v>13</v>
      </c>
      <c r="F147" s="338" t="s">
        <v>92</v>
      </c>
      <c r="G147" s="338" t="s">
        <v>637</v>
      </c>
      <c r="H147" s="338" t="s">
        <v>37</v>
      </c>
      <c r="I147" s="338" t="s">
        <v>23</v>
      </c>
      <c r="J147" s="338" t="s">
        <v>584</v>
      </c>
      <c r="K147" s="338" t="s">
        <v>584</v>
      </c>
      <c r="L147" s="338" t="s">
        <v>584</v>
      </c>
      <c r="M147" s="338" t="s">
        <v>584</v>
      </c>
      <c r="N147" s="338" t="s">
        <v>584</v>
      </c>
      <c r="O147" s="338" t="s">
        <v>584</v>
      </c>
      <c r="P147" s="338" t="s">
        <v>584</v>
      </c>
      <c r="Q147" s="338" t="s">
        <v>584</v>
      </c>
      <c r="R147" s="338" t="s">
        <v>584</v>
      </c>
      <c r="S147" s="338" t="s">
        <v>584</v>
      </c>
      <c r="T147" s="338" t="s">
        <v>584</v>
      </c>
      <c r="U147" s="338" t="s">
        <v>584</v>
      </c>
      <c r="V147" s="338" t="s">
        <v>584</v>
      </c>
    </row>
    <row r="148" spans="1:22" ht="15" x14ac:dyDescent="0.2">
      <c r="A148" s="342" t="s">
        <v>55</v>
      </c>
      <c r="B148" s="338" t="s">
        <v>10</v>
      </c>
      <c r="C148" s="338" t="s">
        <v>648</v>
      </c>
      <c r="D148" s="338" t="s">
        <v>24</v>
      </c>
      <c r="E148" s="338" t="s">
        <v>584</v>
      </c>
      <c r="F148" s="338" t="s">
        <v>584</v>
      </c>
      <c r="G148" s="338" t="s">
        <v>584</v>
      </c>
      <c r="H148" s="338" t="s">
        <v>584</v>
      </c>
      <c r="I148" s="338" t="s">
        <v>584</v>
      </c>
      <c r="J148" s="338" t="s">
        <v>584</v>
      </c>
      <c r="K148" s="338" t="s">
        <v>584</v>
      </c>
      <c r="L148" s="338" t="s">
        <v>584</v>
      </c>
      <c r="M148" s="338" t="s">
        <v>584</v>
      </c>
      <c r="N148" s="338" t="s">
        <v>584</v>
      </c>
      <c r="O148" s="338" t="s">
        <v>584</v>
      </c>
      <c r="P148" s="338" t="s">
        <v>584</v>
      </c>
      <c r="Q148" s="338" t="s">
        <v>584</v>
      </c>
      <c r="R148" s="338" t="s">
        <v>584</v>
      </c>
      <c r="S148" s="338" t="s">
        <v>584</v>
      </c>
      <c r="T148" s="338" t="s">
        <v>584</v>
      </c>
      <c r="U148" s="338" t="s">
        <v>584</v>
      </c>
      <c r="V148" s="338" t="s">
        <v>584</v>
      </c>
    </row>
    <row r="149" spans="1:22" ht="15" x14ac:dyDescent="0.2">
      <c r="A149" s="342" t="s">
        <v>712</v>
      </c>
      <c r="B149" s="338" t="s">
        <v>8</v>
      </c>
      <c r="C149" s="338" t="s">
        <v>486</v>
      </c>
      <c r="D149" s="338" t="s">
        <v>646</v>
      </c>
      <c r="E149" s="338" t="s">
        <v>24</v>
      </c>
      <c r="F149" s="338" t="s">
        <v>584</v>
      </c>
      <c r="G149" s="338" t="s">
        <v>584</v>
      </c>
      <c r="H149" s="338" t="s">
        <v>584</v>
      </c>
      <c r="I149" s="338" t="s">
        <v>584</v>
      </c>
      <c r="J149" s="338" t="s">
        <v>584</v>
      </c>
      <c r="K149" s="338" t="s">
        <v>584</v>
      </c>
      <c r="L149" s="338" t="s">
        <v>584</v>
      </c>
      <c r="M149" s="338" t="s">
        <v>584</v>
      </c>
      <c r="N149" s="338" t="s">
        <v>584</v>
      </c>
      <c r="O149" s="338" t="s">
        <v>584</v>
      </c>
      <c r="P149" s="338" t="s">
        <v>584</v>
      </c>
      <c r="Q149" s="338" t="s">
        <v>584</v>
      </c>
      <c r="R149" s="338" t="s">
        <v>584</v>
      </c>
      <c r="S149" s="338" t="s">
        <v>584</v>
      </c>
      <c r="T149" s="338" t="s">
        <v>584</v>
      </c>
      <c r="U149" s="338" t="s">
        <v>584</v>
      </c>
      <c r="V149" s="338" t="s">
        <v>584</v>
      </c>
    </row>
    <row r="150" spans="1:22" ht="15" x14ac:dyDescent="0.2">
      <c r="A150" s="342" t="s">
        <v>713</v>
      </c>
      <c r="B150" s="338" t="s">
        <v>637</v>
      </c>
      <c r="C150" s="338" t="s">
        <v>646</v>
      </c>
      <c r="D150" s="338" t="s">
        <v>8</v>
      </c>
      <c r="E150" s="338" t="s">
        <v>486</v>
      </c>
      <c r="F150" s="338" t="s">
        <v>584</v>
      </c>
      <c r="G150" s="338" t="s">
        <v>584</v>
      </c>
      <c r="H150" s="338" t="s">
        <v>584</v>
      </c>
      <c r="I150" s="338" t="s">
        <v>584</v>
      </c>
      <c r="J150" s="338" t="s">
        <v>584</v>
      </c>
      <c r="K150" s="338" t="s">
        <v>584</v>
      </c>
      <c r="L150" s="338" t="s">
        <v>584</v>
      </c>
      <c r="M150" s="338" t="s">
        <v>584</v>
      </c>
      <c r="N150" s="338" t="s">
        <v>584</v>
      </c>
      <c r="O150" s="338" t="s">
        <v>584</v>
      </c>
      <c r="P150" s="338" t="s">
        <v>584</v>
      </c>
      <c r="Q150" s="338" t="s">
        <v>584</v>
      </c>
      <c r="R150" s="338" t="s">
        <v>584</v>
      </c>
      <c r="S150" s="338" t="s">
        <v>584</v>
      </c>
      <c r="T150" s="338" t="s">
        <v>584</v>
      </c>
      <c r="U150" s="338" t="s">
        <v>584</v>
      </c>
      <c r="V150" s="338" t="s">
        <v>584</v>
      </c>
    </row>
    <row r="151" spans="1:22" ht="15" x14ac:dyDescent="0.2">
      <c r="A151" s="342" t="s">
        <v>714</v>
      </c>
      <c r="B151" s="338" t="s">
        <v>646</v>
      </c>
      <c r="C151" s="338" t="s">
        <v>10</v>
      </c>
      <c r="D151" s="338" t="s">
        <v>24</v>
      </c>
      <c r="E151" s="338" t="s">
        <v>34</v>
      </c>
      <c r="F151" s="338" t="s">
        <v>584</v>
      </c>
      <c r="G151" s="338" t="s">
        <v>584</v>
      </c>
      <c r="H151" s="338" t="s">
        <v>584</v>
      </c>
      <c r="I151" s="338" t="s">
        <v>584</v>
      </c>
      <c r="J151" s="338" t="s">
        <v>584</v>
      </c>
      <c r="K151" s="338" t="s">
        <v>584</v>
      </c>
      <c r="L151" s="338" t="s">
        <v>584</v>
      </c>
      <c r="M151" s="338" t="s">
        <v>584</v>
      </c>
      <c r="N151" s="338" t="s">
        <v>584</v>
      </c>
      <c r="O151" s="338" t="s">
        <v>584</v>
      </c>
      <c r="P151" s="338" t="s">
        <v>584</v>
      </c>
      <c r="Q151" s="338" t="s">
        <v>584</v>
      </c>
      <c r="R151" s="338" t="s">
        <v>584</v>
      </c>
      <c r="S151" s="338" t="s">
        <v>584</v>
      </c>
      <c r="T151" s="338" t="s">
        <v>584</v>
      </c>
      <c r="U151" s="338" t="s">
        <v>584</v>
      </c>
      <c r="V151" s="338" t="s">
        <v>584</v>
      </c>
    </row>
    <row r="152" spans="1:22" ht="15" x14ac:dyDescent="0.2">
      <c r="A152" s="342" t="s">
        <v>715</v>
      </c>
      <c r="B152" s="338" t="s">
        <v>8</v>
      </c>
      <c r="C152" s="338" t="s">
        <v>16</v>
      </c>
      <c r="D152" s="338" t="s">
        <v>441</v>
      </c>
      <c r="E152" s="338" t="s">
        <v>637</v>
      </c>
      <c r="F152" s="338" t="s">
        <v>483</v>
      </c>
      <c r="G152" s="338" t="s">
        <v>25</v>
      </c>
      <c r="H152" s="338" t="s">
        <v>584</v>
      </c>
      <c r="I152" s="338" t="s">
        <v>584</v>
      </c>
      <c r="J152" s="338" t="s">
        <v>584</v>
      </c>
      <c r="K152" s="338" t="s">
        <v>584</v>
      </c>
      <c r="L152" s="338" t="s">
        <v>584</v>
      </c>
      <c r="M152" s="338" t="s">
        <v>584</v>
      </c>
      <c r="N152" s="338" t="s">
        <v>584</v>
      </c>
      <c r="O152" s="338" t="s">
        <v>584</v>
      </c>
      <c r="P152" s="338" t="s">
        <v>584</v>
      </c>
      <c r="Q152" s="338" t="s">
        <v>584</v>
      </c>
      <c r="R152" s="338" t="s">
        <v>584</v>
      </c>
      <c r="S152" s="338" t="s">
        <v>584</v>
      </c>
      <c r="T152" s="338" t="s">
        <v>584</v>
      </c>
      <c r="U152" s="338" t="s">
        <v>584</v>
      </c>
      <c r="V152" s="338" t="s">
        <v>584</v>
      </c>
    </row>
    <row r="153" spans="1:22" ht="15" x14ac:dyDescent="0.2">
      <c r="A153" s="342" t="s">
        <v>546</v>
      </c>
      <c r="B153" s="338" t="s">
        <v>386</v>
      </c>
      <c r="C153" s="338" t="s">
        <v>38</v>
      </c>
      <c r="D153" s="338" t="s">
        <v>380</v>
      </c>
      <c r="E153" s="338" t="s">
        <v>561</v>
      </c>
      <c r="F153" s="338" t="s">
        <v>584</v>
      </c>
      <c r="G153" s="338" t="s">
        <v>584</v>
      </c>
      <c r="H153" s="338" t="s">
        <v>584</v>
      </c>
      <c r="I153" s="338" t="s">
        <v>584</v>
      </c>
      <c r="J153" s="338" t="s">
        <v>584</v>
      </c>
      <c r="K153" s="338" t="s">
        <v>584</v>
      </c>
      <c r="L153" s="338" t="s">
        <v>584</v>
      </c>
      <c r="M153" s="338" t="s">
        <v>584</v>
      </c>
      <c r="N153" s="338" t="s">
        <v>584</v>
      </c>
      <c r="O153" s="338" t="s">
        <v>584</v>
      </c>
      <c r="P153" s="338" t="s">
        <v>584</v>
      </c>
      <c r="Q153" s="338" t="s">
        <v>584</v>
      </c>
      <c r="R153" s="338" t="s">
        <v>584</v>
      </c>
      <c r="S153" s="338" t="s">
        <v>584</v>
      </c>
      <c r="T153" s="338" t="s">
        <v>584</v>
      </c>
      <c r="U153" s="338" t="s">
        <v>584</v>
      </c>
      <c r="V153" s="338" t="s">
        <v>584</v>
      </c>
    </row>
    <row r="154" spans="1:22" ht="15" x14ac:dyDescent="0.2">
      <c r="A154" s="342" t="s">
        <v>547</v>
      </c>
      <c r="B154" s="338" t="s">
        <v>37</v>
      </c>
      <c r="C154" s="338" t="s">
        <v>646</v>
      </c>
      <c r="D154" s="338" t="s">
        <v>637</v>
      </c>
      <c r="E154" s="338" t="s">
        <v>25</v>
      </c>
      <c r="F154" s="338" t="s">
        <v>483</v>
      </c>
      <c r="G154" s="338" t="s">
        <v>19</v>
      </c>
      <c r="H154" s="338" t="s">
        <v>584</v>
      </c>
      <c r="I154" s="338" t="s">
        <v>584</v>
      </c>
      <c r="J154" s="338" t="s">
        <v>584</v>
      </c>
      <c r="K154" s="338" t="s">
        <v>584</v>
      </c>
      <c r="L154" s="338" t="s">
        <v>584</v>
      </c>
      <c r="M154" s="338" t="s">
        <v>584</v>
      </c>
      <c r="N154" s="338" t="s">
        <v>584</v>
      </c>
      <c r="O154" s="338" t="s">
        <v>584</v>
      </c>
      <c r="P154" s="338" t="s">
        <v>584</v>
      </c>
      <c r="Q154" s="338" t="s">
        <v>584</v>
      </c>
      <c r="R154" s="338" t="s">
        <v>584</v>
      </c>
      <c r="S154" s="338" t="s">
        <v>584</v>
      </c>
      <c r="T154" s="338" t="s">
        <v>584</v>
      </c>
      <c r="U154" s="338" t="s">
        <v>584</v>
      </c>
      <c r="V154" s="338"/>
    </row>
    <row r="155" spans="1:22" ht="15" x14ac:dyDescent="0.2">
      <c r="A155" s="342" t="s">
        <v>716</v>
      </c>
      <c r="B155" s="338" t="s">
        <v>8</v>
      </c>
      <c r="C155" s="338" t="s">
        <v>64</v>
      </c>
      <c r="D155" s="338" t="s">
        <v>485</v>
      </c>
      <c r="E155" s="338" t="s">
        <v>16</v>
      </c>
      <c r="F155" s="338" t="s">
        <v>185</v>
      </c>
      <c r="G155" s="338" t="s">
        <v>584</v>
      </c>
      <c r="H155" s="338" t="s">
        <v>584</v>
      </c>
      <c r="I155" s="338" t="s">
        <v>584</v>
      </c>
      <c r="J155" s="338" t="s">
        <v>584</v>
      </c>
      <c r="K155" s="338" t="s">
        <v>584</v>
      </c>
      <c r="L155" s="338" t="s">
        <v>584</v>
      </c>
      <c r="M155" s="338" t="s">
        <v>584</v>
      </c>
      <c r="N155" s="338" t="s">
        <v>584</v>
      </c>
      <c r="O155" s="338" t="s">
        <v>584</v>
      </c>
      <c r="P155" s="338" t="s">
        <v>584</v>
      </c>
      <c r="Q155" s="338" t="s">
        <v>584</v>
      </c>
      <c r="R155" s="338" t="s">
        <v>584</v>
      </c>
      <c r="S155" s="338" t="s">
        <v>584</v>
      </c>
      <c r="T155" s="338" t="s">
        <v>584</v>
      </c>
      <c r="U155" s="338" t="s">
        <v>584</v>
      </c>
      <c r="V155" s="338" t="s">
        <v>584</v>
      </c>
    </row>
    <row r="156" spans="1:22" ht="15" x14ac:dyDescent="0.2">
      <c r="A156" s="342" t="s">
        <v>717</v>
      </c>
      <c r="B156" s="338" t="s">
        <v>64</v>
      </c>
      <c r="C156" s="338" t="s">
        <v>16</v>
      </c>
      <c r="D156" s="338" t="s">
        <v>41</v>
      </c>
      <c r="E156" s="338"/>
      <c r="F156" s="338"/>
      <c r="G156" s="338" t="s">
        <v>584</v>
      </c>
      <c r="H156" s="338" t="s">
        <v>584</v>
      </c>
      <c r="I156" s="338" t="s">
        <v>584</v>
      </c>
      <c r="J156" s="338" t="s">
        <v>584</v>
      </c>
      <c r="K156" s="338" t="s">
        <v>584</v>
      </c>
      <c r="L156" s="338" t="s">
        <v>584</v>
      </c>
      <c r="M156" s="338" t="s">
        <v>584</v>
      </c>
      <c r="N156" s="338" t="s">
        <v>584</v>
      </c>
      <c r="O156" s="338" t="s">
        <v>584</v>
      </c>
      <c r="P156" s="338" t="s">
        <v>584</v>
      </c>
      <c r="Q156" s="338" t="s">
        <v>584</v>
      </c>
      <c r="R156" s="338" t="s">
        <v>584</v>
      </c>
      <c r="S156" s="338" t="s">
        <v>584</v>
      </c>
      <c r="T156" s="338" t="s">
        <v>584</v>
      </c>
      <c r="U156" s="338" t="s">
        <v>584</v>
      </c>
      <c r="V156" s="338" t="s">
        <v>584</v>
      </c>
    </row>
    <row r="157" spans="1:22" ht="15" x14ac:dyDescent="0.2">
      <c r="A157" s="342" t="s">
        <v>414</v>
      </c>
      <c r="B157" s="338" t="s">
        <v>10</v>
      </c>
      <c r="C157" s="338" t="s">
        <v>66</v>
      </c>
      <c r="D157" s="338" t="s">
        <v>14</v>
      </c>
      <c r="E157" s="338" t="s">
        <v>69</v>
      </c>
      <c r="F157" s="338" t="s">
        <v>16</v>
      </c>
      <c r="G157" s="338" t="s">
        <v>558</v>
      </c>
      <c r="H157" s="338" t="s">
        <v>19</v>
      </c>
      <c r="I157" s="338" t="s">
        <v>21</v>
      </c>
      <c r="J157" s="338" t="s">
        <v>483</v>
      </c>
      <c r="K157" s="338" t="s">
        <v>30</v>
      </c>
      <c r="L157" s="338" t="s">
        <v>33</v>
      </c>
      <c r="M157" s="338" t="s">
        <v>34</v>
      </c>
      <c r="N157" s="338" t="s">
        <v>214</v>
      </c>
      <c r="O157" s="338" t="s">
        <v>443</v>
      </c>
      <c r="P157" s="338" t="s">
        <v>38</v>
      </c>
      <c r="Q157" s="338" t="s">
        <v>482</v>
      </c>
      <c r="R157" s="338" t="s">
        <v>559</v>
      </c>
      <c r="S157" s="338" t="s">
        <v>560</v>
      </c>
      <c r="T157" s="338" t="s">
        <v>68</v>
      </c>
      <c r="U157" s="338" t="s">
        <v>563</v>
      </c>
      <c r="V157" s="338" t="s">
        <v>69</v>
      </c>
    </row>
    <row r="158" spans="1:22" ht="15" x14ac:dyDescent="0.2">
      <c r="A158" s="342" t="s">
        <v>348</v>
      </c>
      <c r="B158" s="338" t="s">
        <v>10</v>
      </c>
      <c r="C158" s="338" t="s">
        <v>66</v>
      </c>
      <c r="D158" s="338" t="s">
        <v>14</v>
      </c>
      <c r="E158" s="338" t="s">
        <v>70</v>
      </c>
      <c r="F158" s="338" t="s">
        <v>16</v>
      </c>
      <c r="G158" s="338" t="s">
        <v>19</v>
      </c>
      <c r="H158" s="338" t="s">
        <v>21</v>
      </c>
      <c r="I158" s="338" t="s">
        <v>483</v>
      </c>
      <c r="J158" s="338" t="s">
        <v>646</v>
      </c>
      <c r="K158" s="338" t="s">
        <v>30</v>
      </c>
      <c r="L158" s="338" t="s">
        <v>34</v>
      </c>
      <c r="M158" s="338" t="s">
        <v>380</v>
      </c>
      <c r="N158" s="338" t="s">
        <v>38</v>
      </c>
      <c r="O158" s="338" t="s">
        <v>385</v>
      </c>
      <c r="P158" s="338" t="s">
        <v>559</v>
      </c>
      <c r="Q158" s="338" t="s">
        <v>560</v>
      </c>
      <c r="R158" s="338" t="s">
        <v>584</v>
      </c>
      <c r="S158" s="338" t="s">
        <v>584</v>
      </c>
      <c r="T158" s="338" t="s">
        <v>584</v>
      </c>
      <c r="U158" s="338" t="s">
        <v>584</v>
      </c>
      <c r="V158" s="338" t="s">
        <v>584</v>
      </c>
    </row>
    <row r="159" spans="1:22" ht="15" x14ac:dyDescent="0.2">
      <c r="A159" s="343" t="s">
        <v>350</v>
      </c>
      <c r="B159" s="338" t="s">
        <v>10</v>
      </c>
      <c r="C159" s="338" t="s">
        <v>646</v>
      </c>
      <c r="D159" s="338" t="s">
        <v>19</v>
      </c>
      <c r="E159" s="338" t="s">
        <v>378</v>
      </c>
      <c r="F159" s="338" t="s">
        <v>24</v>
      </c>
      <c r="G159" s="338" t="s">
        <v>1059</v>
      </c>
      <c r="H159" s="338" t="s">
        <v>584</v>
      </c>
      <c r="I159" s="338" t="s">
        <v>584</v>
      </c>
      <c r="J159" s="338" t="s">
        <v>584</v>
      </c>
      <c r="K159" s="338" t="s">
        <v>584</v>
      </c>
      <c r="L159" s="338" t="s">
        <v>584</v>
      </c>
      <c r="M159" s="338" t="s">
        <v>584</v>
      </c>
      <c r="N159" s="338" t="s">
        <v>584</v>
      </c>
      <c r="O159" s="338" t="s">
        <v>584</v>
      </c>
      <c r="P159" s="338" t="s">
        <v>584</v>
      </c>
      <c r="Q159" s="338" t="s">
        <v>584</v>
      </c>
      <c r="R159" s="338" t="s">
        <v>584</v>
      </c>
      <c r="S159" s="338" t="s">
        <v>584</v>
      </c>
      <c r="T159" s="338" t="s">
        <v>584</v>
      </c>
      <c r="U159" s="338" t="s">
        <v>584</v>
      </c>
      <c r="V159" s="338" t="s">
        <v>584</v>
      </c>
    </row>
    <row r="160" spans="1:22" ht="15" x14ac:dyDescent="0.2">
      <c r="A160" s="343" t="s">
        <v>352</v>
      </c>
      <c r="B160" s="338" t="s">
        <v>15</v>
      </c>
      <c r="C160" s="338" t="s">
        <v>381</v>
      </c>
      <c r="D160" s="338" t="s">
        <v>482</v>
      </c>
      <c r="E160" s="338" t="s">
        <v>41</v>
      </c>
      <c r="F160" s="338" t="s">
        <v>584</v>
      </c>
      <c r="G160" s="338" t="s">
        <v>584</v>
      </c>
      <c r="H160" s="338" t="s">
        <v>584</v>
      </c>
      <c r="I160" s="338" t="s">
        <v>584</v>
      </c>
      <c r="J160" s="338" t="s">
        <v>584</v>
      </c>
      <c r="K160" s="338" t="s">
        <v>584</v>
      </c>
      <c r="L160" s="338" t="s">
        <v>584</v>
      </c>
      <c r="M160" s="338" t="s">
        <v>584</v>
      </c>
      <c r="N160" s="338" t="s">
        <v>584</v>
      </c>
      <c r="O160" s="338" t="s">
        <v>584</v>
      </c>
      <c r="P160" s="338" t="s">
        <v>584</v>
      </c>
      <c r="Q160" s="338" t="s">
        <v>584</v>
      </c>
      <c r="R160" s="338" t="s">
        <v>584</v>
      </c>
      <c r="S160" s="338" t="s">
        <v>584</v>
      </c>
      <c r="T160" s="338" t="s">
        <v>584</v>
      </c>
      <c r="U160" s="338" t="s">
        <v>584</v>
      </c>
      <c r="V160" s="338" t="s">
        <v>584</v>
      </c>
    </row>
    <row r="161" spans="1:9" ht="15" x14ac:dyDescent="0.2">
      <c r="A161" s="343" t="s">
        <v>730</v>
      </c>
      <c r="B161" s="338" t="s">
        <v>25</v>
      </c>
      <c r="C161" s="338" t="s">
        <v>10</v>
      </c>
      <c r="D161" s="338" t="s">
        <v>378</v>
      </c>
      <c r="E161" s="338" t="s">
        <v>23</v>
      </c>
      <c r="F161" s="338" t="s">
        <v>637</v>
      </c>
      <c r="G161" s="338" t="s">
        <v>646</v>
      </c>
      <c r="H161" s="338" t="s">
        <v>686</v>
      </c>
      <c r="I161" s="338" t="s">
        <v>34</v>
      </c>
    </row>
    <row r="162" spans="1:9" ht="15" x14ac:dyDescent="0.2">
      <c r="A162" s="343" t="s">
        <v>729</v>
      </c>
      <c r="B162" s="338" t="s">
        <v>25</v>
      </c>
      <c r="C162" s="338" t="s">
        <v>23</v>
      </c>
      <c r="D162" s="338" t="s">
        <v>481</v>
      </c>
      <c r="E162" s="338" t="s">
        <v>483</v>
      </c>
      <c r="F162" s="338" t="s">
        <v>731</v>
      </c>
      <c r="G162" s="338" t="s">
        <v>37</v>
      </c>
    </row>
    <row r="163" spans="1:9" ht="15" x14ac:dyDescent="0.2">
      <c r="A163" s="343" t="s">
        <v>728</v>
      </c>
      <c r="B163" s="338" t="s">
        <v>482</v>
      </c>
      <c r="C163" s="338" t="s">
        <v>637</v>
      </c>
      <c r="D163" s="338" t="s">
        <v>378</v>
      </c>
      <c r="E163" s="338" t="s">
        <v>16</v>
      </c>
      <c r="F163" s="338" t="s">
        <v>38</v>
      </c>
      <c r="G163" s="338" t="s">
        <v>380</v>
      </c>
    </row>
  </sheetData>
  <sheetProtection algorithmName="SHA-512" hashValue="iGnpORSqoejwnJZdMVfijjn/BOXZIueIxNsoDB3GV/33iiiwoyOf4mo4ZZZ1A63RsF4UlFNbcBGykJVMrYy40g==" saltValue="69QycvSuJ3GRLuhryVwGaQ==" spinCount="100000" sheet="1" objects="1" scenarios="1"/>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977F9-63F1-4476-9A15-49DEA4E25724}">
  <dimension ref="A1:D194"/>
  <sheetViews>
    <sheetView topLeftCell="A90" workbookViewId="0">
      <selection activeCell="A99" sqref="A99"/>
    </sheetView>
  </sheetViews>
  <sheetFormatPr baseColWidth="10" defaultRowHeight="14.25" x14ac:dyDescent="0.2"/>
  <cols>
    <col min="1" max="1" width="71.875" bestFit="1" customWidth="1"/>
  </cols>
  <sheetData>
    <row r="1" spans="1:2" x14ac:dyDescent="0.2">
      <c r="B1" t="s">
        <v>758</v>
      </c>
    </row>
    <row r="2" spans="1:2" x14ac:dyDescent="0.2">
      <c r="A2" t="s">
        <v>445</v>
      </c>
    </row>
    <row r="3" spans="1:2" x14ac:dyDescent="0.2">
      <c r="A3" t="s">
        <v>684</v>
      </c>
    </row>
    <row r="4" spans="1:2" x14ac:dyDescent="0.2">
      <c r="A4" t="s">
        <v>446</v>
      </c>
    </row>
    <row r="5" spans="1:2" x14ac:dyDescent="0.2">
      <c r="A5" t="s">
        <v>488</v>
      </c>
    </row>
    <row r="6" spans="1:2" x14ac:dyDescent="0.2">
      <c r="A6" t="s">
        <v>447</v>
      </c>
    </row>
    <row r="7" spans="1:2" x14ac:dyDescent="0.2">
      <c r="A7" t="s">
        <v>451</v>
      </c>
    </row>
    <row r="8" spans="1:2" x14ac:dyDescent="0.2">
      <c r="A8" t="s">
        <v>691</v>
      </c>
    </row>
    <row r="9" spans="1:2" x14ac:dyDescent="0.2">
      <c r="A9" t="s">
        <v>337</v>
      </c>
    </row>
    <row r="10" spans="1:2" x14ac:dyDescent="0.2">
      <c r="A10" t="s">
        <v>448</v>
      </c>
    </row>
    <row r="11" spans="1:2" x14ac:dyDescent="0.2">
      <c r="A11" t="s">
        <v>692</v>
      </c>
    </row>
    <row r="12" spans="1:2" x14ac:dyDescent="0.2">
      <c r="A12" t="s">
        <v>693</v>
      </c>
    </row>
    <row r="13" spans="1:2" x14ac:dyDescent="0.2">
      <c r="A13" t="s">
        <v>449</v>
      </c>
    </row>
    <row r="14" spans="1:2" x14ac:dyDescent="0.2">
      <c r="A14" t="s">
        <v>694</v>
      </c>
    </row>
    <row r="15" spans="1:2" x14ac:dyDescent="0.2">
      <c r="A15" t="s">
        <v>452</v>
      </c>
    </row>
    <row r="16" spans="1:2" x14ac:dyDescent="0.2">
      <c r="A16" t="s">
        <v>450</v>
      </c>
    </row>
    <row r="17" spans="1:1" x14ac:dyDescent="0.2">
      <c r="A17" t="s">
        <v>718</v>
      </c>
    </row>
    <row r="18" spans="1:1" x14ac:dyDescent="0.2">
      <c r="A18" t="s">
        <v>719</v>
      </c>
    </row>
    <row r="19" spans="1:1" x14ac:dyDescent="0.2">
      <c r="A19" t="s">
        <v>493</v>
      </c>
    </row>
    <row r="20" spans="1:1" x14ac:dyDescent="0.2">
      <c r="A20" t="s">
        <v>720</v>
      </c>
    </row>
    <row r="21" spans="1:1" x14ac:dyDescent="0.2">
      <c r="A21" t="s">
        <v>721</v>
      </c>
    </row>
    <row r="22" spans="1:1" x14ac:dyDescent="0.2">
      <c r="A22" t="s">
        <v>722</v>
      </c>
    </row>
    <row r="23" spans="1:1" x14ac:dyDescent="0.2">
      <c r="A23" t="s">
        <v>723</v>
      </c>
    </row>
    <row r="24" spans="1:1" x14ac:dyDescent="0.2">
      <c r="A24" t="s">
        <v>724</v>
      </c>
    </row>
    <row r="25" spans="1:1" x14ac:dyDescent="0.2">
      <c r="A25" t="s">
        <v>725</v>
      </c>
    </row>
    <row r="26" spans="1:1" x14ac:dyDescent="0.2">
      <c r="A26" t="s">
        <v>390</v>
      </c>
    </row>
    <row r="27" spans="1:1" x14ac:dyDescent="0.2">
      <c r="A27" t="s">
        <v>340</v>
      </c>
    </row>
    <row r="28" spans="1:1" x14ac:dyDescent="0.2">
      <c r="A28" t="s">
        <v>341</v>
      </c>
    </row>
    <row r="29" spans="1:1" x14ac:dyDescent="0.2">
      <c r="A29" t="s">
        <v>703</v>
      </c>
    </row>
    <row r="30" spans="1:1" x14ac:dyDescent="0.2">
      <c r="A30" t="s">
        <v>704</v>
      </c>
    </row>
    <row r="31" spans="1:1" x14ac:dyDescent="0.2">
      <c r="A31" t="s">
        <v>705</v>
      </c>
    </row>
    <row r="32" spans="1:1" x14ac:dyDescent="0.2">
      <c r="A32" t="s">
        <v>706</v>
      </c>
    </row>
    <row r="33" spans="1:1" x14ac:dyDescent="0.2">
      <c r="A33" t="s">
        <v>707</v>
      </c>
    </row>
    <row r="34" spans="1:1" x14ac:dyDescent="0.2">
      <c r="A34" t="s">
        <v>399</v>
      </c>
    </row>
    <row r="35" spans="1:1" x14ac:dyDescent="0.2">
      <c r="A35" t="s">
        <v>400</v>
      </c>
    </row>
    <row r="36" spans="1:1" x14ac:dyDescent="0.2">
      <c r="A36" t="s">
        <v>708</v>
      </c>
    </row>
    <row r="37" spans="1:1" x14ac:dyDescent="0.2">
      <c r="A37" t="s">
        <v>709</v>
      </c>
    </row>
    <row r="38" spans="1:1" x14ac:dyDescent="0.2">
      <c r="A38" t="s">
        <v>342</v>
      </c>
    </row>
    <row r="39" spans="1:1" x14ac:dyDescent="0.2">
      <c r="A39" t="s">
        <v>710</v>
      </c>
    </row>
    <row r="40" spans="1:1" x14ac:dyDescent="0.2">
      <c r="A40" t="s">
        <v>343</v>
      </c>
    </row>
    <row r="41" spans="1:1" x14ac:dyDescent="0.2">
      <c r="A41" t="s">
        <v>403</v>
      </c>
    </row>
    <row r="42" spans="1:1" x14ac:dyDescent="0.2">
      <c r="A42" t="s">
        <v>575</v>
      </c>
    </row>
    <row r="43" spans="1:1" x14ac:dyDescent="0.2">
      <c r="A43" t="s">
        <v>456</v>
      </c>
    </row>
    <row r="44" spans="1:1" x14ac:dyDescent="0.2">
      <c r="A44" t="s">
        <v>405</v>
      </c>
    </row>
    <row r="45" spans="1:1" x14ac:dyDescent="0.2">
      <c r="A45" t="s">
        <v>503</v>
      </c>
    </row>
    <row r="46" spans="1:1" x14ac:dyDescent="0.2">
      <c r="A46" t="s">
        <v>44</v>
      </c>
    </row>
    <row r="47" spans="1:1" x14ac:dyDescent="0.2">
      <c r="A47" t="s">
        <v>45</v>
      </c>
    </row>
    <row r="48" spans="1:1" x14ac:dyDescent="0.2">
      <c r="A48" t="s">
        <v>406</v>
      </c>
    </row>
    <row r="49" spans="1:1" x14ac:dyDescent="0.2">
      <c r="A49" t="s">
        <v>576</v>
      </c>
    </row>
    <row r="50" spans="1:1" x14ac:dyDescent="0.2">
      <c r="A50" t="s">
        <v>504</v>
      </c>
    </row>
    <row r="51" spans="1:1" x14ac:dyDescent="0.2">
      <c r="A51" t="s">
        <v>79</v>
      </c>
    </row>
    <row r="52" spans="1:1" x14ac:dyDescent="0.2">
      <c r="A52" t="s">
        <v>80</v>
      </c>
    </row>
    <row r="53" spans="1:1" x14ac:dyDescent="0.2">
      <c r="A53" t="s">
        <v>726</v>
      </c>
    </row>
    <row r="54" spans="1:1" x14ac:dyDescent="0.2">
      <c r="A54" t="s">
        <v>506</v>
      </c>
    </row>
    <row r="55" spans="1:1" x14ac:dyDescent="0.2">
      <c r="A55" t="s">
        <v>550</v>
      </c>
    </row>
    <row r="56" spans="1:1" x14ac:dyDescent="0.2">
      <c r="A56" t="s">
        <v>81</v>
      </c>
    </row>
    <row r="57" spans="1:1" x14ac:dyDescent="0.2">
      <c r="A57" t="s">
        <v>82</v>
      </c>
    </row>
    <row r="58" spans="1:1" x14ac:dyDescent="0.2">
      <c r="A58" t="s">
        <v>83</v>
      </c>
    </row>
    <row r="59" spans="1:1" x14ac:dyDescent="0.2">
      <c r="A59" t="s">
        <v>345</v>
      </c>
    </row>
    <row r="60" spans="1:1" x14ac:dyDescent="0.2">
      <c r="A60" t="s">
        <v>84</v>
      </c>
    </row>
    <row r="61" spans="1:1" x14ac:dyDescent="0.2">
      <c r="A61" t="s">
        <v>85</v>
      </c>
    </row>
    <row r="62" spans="1:1" x14ac:dyDescent="0.2">
      <c r="A62" t="s">
        <v>410</v>
      </c>
    </row>
    <row r="63" spans="1:1" x14ac:dyDescent="0.2">
      <c r="A63" t="s">
        <v>727</v>
      </c>
    </row>
    <row r="64" spans="1:1" x14ac:dyDescent="0.2">
      <c r="A64" t="s">
        <v>50</v>
      </c>
    </row>
    <row r="65" spans="1:1" x14ac:dyDescent="0.2">
      <c r="A65" t="s">
        <v>56</v>
      </c>
    </row>
    <row r="66" spans="1:1" x14ac:dyDescent="0.2">
      <c r="A66" t="s">
        <v>578</v>
      </c>
    </row>
    <row r="67" spans="1:1" x14ac:dyDescent="0.2">
      <c r="A67" t="s">
        <v>349</v>
      </c>
    </row>
    <row r="68" spans="1:1" x14ac:dyDescent="0.2">
      <c r="A68" t="s">
        <v>418</v>
      </c>
    </row>
    <row r="69" spans="1:1" x14ac:dyDescent="0.2">
      <c r="A69" t="s">
        <v>54</v>
      </c>
    </row>
    <row r="70" spans="1:1" x14ac:dyDescent="0.2">
      <c r="A70" t="s">
        <v>351</v>
      </c>
    </row>
    <row r="71" spans="1:1" x14ac:dyDescent="0.2">
      <c r="A71" t="s">
        <v>55</v>
      </c>
    </row>
    <row r="72" spans="1:1" x14ac:dyDescent="0.2">
      <c r="A72" t="s">
        <v>712</v>
      </c>
    </row>
    <row r="73" spans="1:1" x14ac:dyDescent="0.2">
      <c r="A73" t="s">
        <v>713</v>
      </c>
    </row>
    <row r="74" spans="1:1" x14ac:dyDescent="0.2">
      <c r="A74" t="s">
        <v>714</v>
      </c>
    </row>
    <row r="75" spans="1:1" x14ac:dyDescent="0.2">
      <c r="A75" t="s">
        <v>715</v>
      </c>
    </row>
    <row r="76" spans="1:1" x14ac:dyDescent="0.2">
      <c r="A76" t="s">
        <v>546</v>
      </c>
    </row>
    <row r="77" spans="1:1" x14ac:dyDescent="0.2">
      <c r="A77" t="s">
        <v>547</v>
      </c>
    </row>
    <row r="78" spans="1:1" x14ac:dyDescent="0.2">
      <c r="A78" t="s">
        <v>716</v>
      </c>
    </row>
    <row r="79" spans="1:1" x14ac:dyDescent="0.2">
      <c r="A79" t="s">
        <v>717</v>
      </c>
    </row>
    <row r="80" spans="1:1" x14ac:dyDescent="0.2">
      <c r="A80" t="s">
        <v>414</v>
      </c>
    </row>
    <row r="81" spans="1:4" x14ac:dyDescent="0.2">
      <c r="A81" t="s">
        <v>348</v>
      </c>
    </row>
    <row r="82" spans="1:4" x14ac:dyDescent="0.2">
      <c r="A82" t="s">
        <v>350</v>
      </c>
    </row>
    <row r="83" spans="1:4" x14ac:dyDescent="0.2">
      <c r="A83" t="s">
        <v>352</v>
      </c>
    </row>
    <row r="84" spans="1:4" x14ac:dyDescent="0.2">
      <c r="A84" t="s">
        <v>730</v>
      </c>
    </row>
    <row r="85" spans="1:4" x14ac:dyDescent="0.2">
      <c r="A85" t="s">
        <v>729</v>
      </c>
    </row>
    <row r="86" spans="1:4" x14ac:dyDescent="0.2">
      <c r="A86" t="s">
        <v>728</v>
      </c>
    </row>
    <row r="90" spans="1:4" x14ac:dyDescent="0.2">
      <c r="B90" t="s">
        <v>1064</v>
      </c>
      <c r="C90" t="s">
        <v>336</v>
      </c>
      <c r="D90" t="s">
        <v>60</v>
      </c>
    </row>
    <row r="91" spans="1:4" x14ac:dyDescent="0.2">
      <c r="A91" t="s">
        <v>445</v>
      </c>
      <c r="B91" s="188">
        <v>25</v>
      </c>
      <c r="C91" s="188">
        <v>3.4</v>
      </c>
      <c r="D91" s="188">
        <v>85</v>
      </c>
    </row>
    <row r="92" spans="1:4" x14ac:dyDescent="0.2">
      <c r="A92" t="s">
        <v>684</v>
      </c>
      <c r="B92" s="188">
        <v>10</v>
      </c>
      <c r="C92" s="188">
        <v>4.5</v>
      </c>
      <c r="D92" s="188">
        <v>45</v>
      </c>
    </row>
    <row r="93" spans="1:4" x14ac:dyDescent="0.2">
      <c r="A93" t="s">
        <v>446</v>
      </c>
      <c r="B93" s="188">
        <v>20</v>
      </c>
      <c r="C93" s="188">
        <v>4</v>
      </c>
      <c r="D93" s="188">
        <v>80</v>
      </c>
    </row>
    <row r="94" spans="1:4" x14ac:dyDescent="0.2">
      <c r="A94" t="s">
        <v>488</v>
      </c>
      <c r="B94" s="188">
        <v>23</v>
      </c>
      <c r="C94" s="188">
        <v>3.45</v>
      </c>
      <c r="D94" s="188">
        <v>79.350000000000009</v>
      </c>
    </row>
    <row r="95" spans="1:4" x14ac:dyDescent="0.2">
      <c r="A95" t="s">
        <v>447</v>
      </c>
      <c r="B95" s="188">
        <v>23</v>
      </c>
      <c r="C95" s="188">
        <v>3.51</v>
      </c>
      <c r="D95" s="188">
        <v>80.72999999999999</v>
      </c>
    </row>
    <row r="96" spans="1:4" x14ac:dyDescent="0.2">
      <c r="A96" t="s">
        <v>451</v>
      </c>
      <c r="B96" s="188">
        <v>28</v>
      </c>
      <c r="C96" s="188">
        <v>3.24</v>
      </c>
      <c r="D96" s="188">
        <v>90.72</v>
      </c>
    </row>
    <row r="97" spans="1:4" x14ac:dyDescent="0.2">
      <c r="A97" t="s">
        <v>691</v>
      </c>
      <c r="B97" s="188">
        <v>23</v>
      </c>
      <c r="C97" s="188">
        <v>3.34</v>
      </c>
      <c r="D97" s="188">
        <v>76.819999999999993</v>
      </c>
    </row>
    <row r="98" spans="1:4" x14ac:dyDescent="0.2">
      <c r="A98" t="s">
        <v>337</v>
      </c>
      <c r="B98" s="188">
        <v>25</v>
      </c>
      <c r="C98" s="188">
        <v>3.2</v>
      </c>
      <c r="D98" s="188">
        <v>80</v>
      </c>
    </row>
    <row r="99" spans="1:4" x14ac:dyDescent="0.2">
      <c r="A99" t="s">
        <v>448</v>
      </c>
      <c r="B99" s="188">
        <v>33</v>
      </c>
      <c r="C99" s="188">
        <v>3.39</v>
      </c>
      <c r="D99" s="188">
        <v>111.87</v>
      </c>
    </row>
    <row r="100" spans="1:4" x14ac:dyDescent="0.2">
      <c r="A100" t="s">
        <v>692</v>
      </c>
      <c r="B100" s="188">
        <v>30</v>
      </c>
      <c r="C100" s="188">
        <v>3.62</v>
      </c>
      <c r="D100" s="188">
        <v>108.60000000000001</v>
      </c>
    </row>
    <row r="101" spans="1:4" x14ac:dyDescent="0.2">
      <c r="A101" t="s">
        <v>693</v>
      </c>
      <c r="B101" s="188">
        <v>33</v>
      </c>
      <c r="C101" s="188">
        <v>3.58</v>
      </c>
      <c r="D101" s="188">
        <v>118.14</v>
      </c>
    </row>
    <row r="102" spans="1:4" x14ac:dyDescent="0.2">
      <c r="A102" t="s">
        <v>449</v>
      </c>
      <c r="B102" s="188">
        <v>43</v>
      </c>
      <c r="C102" s="188">
        <v>2.97</v>
      </c>
      <c r="D102" s="188">
        <v>127.71000000000001</v>
      </c>
    </row>
    <row r="103" spans="1:4" x14ac:dyDescent="0.2">
      <c r="A103" t="s">
        <v>694</v>
      </c>
      <c r="B103" s="188">
        <v>35</v>
      </c>
      <c r="C103" s="188">
        <v>3.15</v>
      </c>
      <c r="D103" s="188">
        <v>110.25</v>
      </c>
    </row>
    <row r="104" spans="1:4" x14ac:dyDescent="0.2">
      <c r="A104" t="s">
        <v>452</v>
      </c>
      <c r="B104" s="188">
        <v>55</v>
      </c>
      <c r="C104" s="188">
        <v>3</v>
      </c>
      <c r="D104" s="188">
        <v>165</v>
      </c>
    </row>
    <row r="105" spans="1:4" x14ac:dyDescent="0.2">
      <c r="A105" t="s">
        <v>450</v>
      </c>
      <c r="B105" s="188">
        <v>45</v>
      </c>
      <c r="C105" s="188">
        <v>3.19</v>
      </c>
      <c r="D105" s="188">
        <v>143.55000000000001</v>
      </c>
    </row>
    <row r="106" spans="1:4" x14ac:dyDescent="0.2">
      <c r="A106" t="s">
        <v>718</v>
      </c>
      <c r="B106" s="188">
        <v>30</v>
      </c>
      <c r="C106" s="188">
        <v>4.12</v>
      </c>
      <c r="D106" s="188">
        <v>123.60000000000001</v>
      </c>
    </row>
    <row r="107" spans="1:4" x14ac:dyDescent="0.2">
      <c r="A107" t="s">
        <v>719</v>
      </c>
      <c r="B107" s="188">
        <v>25</v>
      </c>
      <c r="C107" s="188">
        <v>4.12</v>
      </c>
      <c r="D107" s="188">
        <v>103</v>
      </c>
    </row>
    <row r="108" spans="1:4" x14ac:dyDescent="0.2">
      <c r="A108" t="s">
        <v>493</v>
      </c>
      <c r="B108" s="188">
        <v>40</v>
      </c>
      <c r="C108" s="188">
        <v>4.0999999999999996</v>
      </c>
      <c r="D108" s="188">
        <v>164</v>
      </c>
    </row>
    <row r="109" spans="1:4" x14ac:dyDescent="0.2">
      <c r="A109" t="s">
        <v>720</v>
      </c>
      <c r="B109" s="188">
        <v>25</v>
      </c>
      <c r="C109" s="188">
        <v>3.85</v>
      </c>
      <c r="D109" s="188">
        <v>96.25</v>
      </c>
    </row>
    <row r="110" spans="1:4" x14ac:dyDescent="0.2">
      <c r="A110" t="s">
        <v>721</v>
      </c>
      <c r="B110" s="188">
        <v>35</v>
      </c>
      <c r="C110" s="188">
        <v>4.16</v>
      </c>
      <c r="D110" s="188">
        <v>145.6</v>
      </c>
    </row>
    <row r="111" spans="1:4" x14ac:dyDescent="0.2">
      <c r="A111" t="s">
        <v>722</v>
      </c>
      <c r="B111" s="188">
        <v>45</v>
      </c>
      <c r="C111" s="188">
        <v>3.6</v>
      </c>
      <c r="D111" s="188">
        <v>162</v>
      </c>
    </row>
    <row r="112" spans="1:4" x14ac:dyDescent="0.2">
      <c r="A112" t="s">
        <v>723</v>
      </c>
      <c r="B112" s="188">
        <v>45</v>
      </c>
      <c r="C112" s="188">
        <v>3.71</v>
      </c>
      <c r="D112" s="188">
        <v>166.95</v>
      </c>
    </row>
    <row r="113" spans="1:4" x14ac:dyDescent="0.2">
      <c r="A113" t="s">
        <v>724</v>
      </c>
      <c r="B113" s="188">
        <v>30</v>
      </c>
      <c r="C113" s="188">
        <v>4.7699999999999996</v>
      </c>
      <c r="D113" s="188">
        <v>143.1</v>
      </c>
    </row>
    <row r="114" spans="1:4" x14ac:dyDescent="0.2">
      <c r="A114" t="s">
        <v>725</v>
      </c>
      <c r="B114" s="188">
        <v>45</v>
      </c>
      <c r="C114" s="188">
        <v>3.14</v>
      </c>
      <c r="D114" s="188">
        <v>141.30000000000001</v>
      </c>
    </row>
    <row r="115" spans="1:4" x14ac:dyDescent="0.2">
      <c r="A115" t="s">
        <v>390</v>
      </c>
      <c r="B115" s="188">
        <v>20</v>
      </c>
      <c r="C115" s="188">
        <v>3.8</v>
      </c>
      <c r="D115" s="188">
        <v>76</v>
      </c>
    </row>
    <row r="116" spans="1:4" x14ac:dyDescent="0.2">
      <c r="A116" t="s">
        <v>340</v>
      </c>
      <c r="B116" s="188">
        <v>20</v>
      </c>
      <c r="C116" s="188">
        <v>4.0199999999999996</v>
      </c>
      <c r="D116" s="188">
        <v>80.399999999999991</v>
      </c>
    </row>
    <row r="117" spans="1:4" x14ac:dyDescent="0.2">
      <c r="A117" t="s">
        <v>341</v>
      </c>
      <c r="B117" s="188">
        <v>15</v>
      </c>
      <c r="C117" s="188">
        <v>5.19</v>
      </c>
      <c r="D117" s="188">
        <v>77.850000000000009</v>
      </c>
    </row>
    <row r="118" spans="1:4" x14ac:dyDescent="0.2">
      <c r="A118" t="s">
        <v>949</v>
      </c>
      <c r="B118" s="188">
        <v>16</v>
      </c>
      <c r="C118" s="188">
        <v>3.67</v>
      </c>
      <c r="D118" s="188">
        <v>58.72</v>
      </c>
    </row>
    <row r="119" spans="1:4" x14ac:dyDescent="0.2">
      <c r="A119" t="s">
        <v>704</v>
      </c>
      <c r="B119" s="188">
        <v>14</v>
      </c>
      <c r="C119" s="188">
        <v>3.83</v>
      </c>
      <c r="D119" s="188">
        <v>53.620000000000005</v>
      </c>
    </row>
    <row r="120" spans="1:4" x14ac:dyDescent="0.2">
      <c r="A120" t="s">
        <v>705</v>
      </c>
      <c r="B120" s="188">
        <v>9</v>
      </c>
      <c r="C120" s="188">
        <v>4.83</v>
      </c>
      <c r="D120" s="188">
        <v>43.47</v>
      </c>
    </row>
    <row r="121" spans="1:4" x14ac:dyDescent="0.2">
      <c r="A121" t="s">
        <v>706</v>
      </c>
      <c r="B121" s="188">
        <v>16</v>
      </c>
      <c r="C121" s="188">
        <v>3.61</v>
      </c>
      <c r="D121" s="188">
        <v>57.76</v>
      </c>
    </row>
    <row r="122" spans="1:4" x14ac:dyDescent="0.2">
      <c r="A122" t="s">
        <v>707</v>
      </c>
      <c r="B122" s="188">
        <v>13</v>
      </c>
      <c r="C122" s="188">
        <v>4.43</v>
      </c>
      <c r="D122" s="188">
        <v>57.589999999999996</v>
      </c>
    </row>
    <row r="123" spans="1:4" x14ac:dyDescent="0.2">
      <c r="A123" t="s">
        <v>399</v>
      </c>
      <c r="B123" s="188" t="s">
        <v>499</v>
      </c>
      <c r="C123" s="188">
        <v>4.91</v>
      </c>
      <c r="D123" s="188"/>
    </row>
    <row r="124" spans="1:4" x14ac:dyDescent="0.2">
      <c r="A124" t="s">
        <v>400</v>
      </c>
      <c r="B124" s="188">
        <v>16</v>
      </c>
      <c r="C124" s="188">
        <v>3.76</v>
      </c>
      <c r="D124" s="188">
        <v>60.16</v>
      </c>
    </row>
    <row r="125" spans="1:4" x14ac:dyDescent="0.2">
      <c r="A125" t="s">
        <v>708</v>
      </c>
      <c r="B125" s="188">
        <v>10</v>
      </c>
      <c r="C125" s="188">
        <v>4.38</v>
      </c>
      <c r="D125" s="188">
        <v>43.8</v>
      </c>
    </row>
    <row r="126" spans="1:4" x14ac:dyDescent="0.2">
      <c r="A126" t="s">
        <v>401</v>
      </c>
      <c r="B126" s="188">
        <v>8</v>
      </c>
      <c r="C126" s="188">
        <v>4</v>
      </c>
      <c r="D126" s="188">
        <v>32</v>
      </c>
    </row>
    <row r="127" spans="1:4" x14ac:dyDescent="0.2">
      <c r="A127" t="s">
        <v>342</v>
      </c>
      <c r="B127" s="188">
        <v>35</v>
      </c>
      <c r="C127" s="188">
        <v>3.36</v>
      </c>
      <c r="D127" s="188">
        <v>117.6</v>
      </c>
    </row>
    <row r="128" spans="1:4" x14ac:dyDescent="0.2">
      <c r="A128" t="s">
        <v>1047</v>
      </c>
      <c r="B128" s="188">
        <v>32.5</v>
      </c>
      <c r="C128" s="188">
        <v>5.23</v>
      </c>
      <c r="D128" s="188">
        <v>169.97500000000002</v>
      </c>
    </row>
    <row r="129" spans="1:4" x14ac:dyDescent="0.2">
      <c r="A129" t="s">
        <v>343</v>
      </c>
      <c r="B129" s="188">
        <v>20</v>
      </c>
      <c r="C129" s="188">
        <v>5.23</v>
      </c>
      <c r="D129" s="188">
        <v>104.60000000000001</v>
      </c>
    </row>
    <row r="130" spans="1:4" x14ac:dyDescent="0.2">
      <c r="A130" t="s">
        <v>403</v>
      </c>
      <c r="B130" s="188">
        <v>12</v>
      </c>
      <c r="C130" s="188">
        <v>5.62</v>
      </c>
      <c r="D130" s="188">
        <v>67.44</v>
      </c>
    </row>
    <row r="131" spans="1:4" x14ac:dyDescent="0.2">
      <c r="A131" t="s">
        <v>575</v>
      </c>
      <c r="B131" s="188">
        <v>25</v>
      </c>
      <c r="C131" s="188">
        <v>4.5199999999999996</v>
      </c>
      <c r="D131" s="188">
        <v>112.99999999999999</v>
      </c>
    </row>
    <row r="132" spans="1:4" x14ac:dyDescent="0.2">
      <c r="A132" t="s">
        <v>456</v>
      </c>
      <c r="B132" s="188">
        <v>20</v>
      </c>
      <c r="C132" s="188">
        <v>4.72</v>
      </c>
      <c r="D132" s="188">
        <v>94.399999999999991</v>
      </c>
    </row>
    <row r="133" spans="1:4" x14ac:dyDescent="0.2">
      <c r="A133" t="s">
        <v>405</v>
      </c>
      <c r="B133" s="188">
        <v>25</v>
      </c>
      <c r="C133" s="188">
        <v>3.83</v>
      </c>
      <c r="D133" s="188">
        <v>95.75</v>
      </c>
    </row>
    <row r="134" spans="1:4" x14ac:dyDescent="0.2">
      <c r="A134" t="s">
        <v>503</v>
      </c>
      <c r="B134" s="188">
        <v>25</v>
      </c>
      <c r="C134" s="188">
        <v>4.1900000000000004</v>
      </c>
      <c r="D134" s="188">
        <v>104.75000000000001</v>
      </c>
    </row>
    <row r="135" spans="1:4" x14ac:dyDescent="0.2">
      <c r="A135" t="s">
        <v>44</v>
      </c>
      <c r="B135" s="188">
        <v>25</v>
      </c>
      <c r="C135" s="188">
        <v>3.38</v>
      </c>
      <c r="D135" s="188">
        <v>84.5</v>
      </c>
    </row>
    <row r="136" spans="1:4" x14ac:dyDescent="0.2">
      <c r="A136" t="s">
        <v>45</v>
      </c>
      <c r="B136" s="188">
        <v>20</v>
      </c>
      <c r="C136" s="188">
        <v>2.88</v>
      </c>
      <c r="D136" s="188">
        <v>57.599999999999994</v>
      </c>
    </row>
    <row r="137" spans="1:4" x14ac:dyDescent="0.2">
      <c r="A137" t="s">
        <v>406</v>
      </c>
      <c r="B137" s="188">
        <v>20</v>
      </c>
      <c r="C137" s="188">
        <v>4.68</v>
      </c>
      <c r="D137" s="188">
        <v>93.6</v>
      </c>
    </row>
    <row r="138" spans="1:4" x14ac:dyDescent="0.2">
      <c r="A138" t="s">
        <v>576</v>
      </c>
      <c r="B138" s="188">
        <v>20</v>
      </c>
      <c r="C138" s="188">
        <v>6.22</v>
      </c>
      <c r="D138" s="188">
        <v>124.39999999999999</v>
      </c>
    </row>
    <row r="139" spans="1:4" x14ac:dyDescent="0.2">
      <c r="A139" t="s">
        <v>504</v>
      </c>
      <c r="B139" s="188">
        <v>23</v>
      </c>
      <c r="C139" s="188">
        <v>3.83</v>
      </c>
      <c r="D139" s="188">
        <v>88.09</v>
      </c>
    </row>
    <row r="140" spans="1:4" x14ac:dyDescent="0.2">
      <c r="A140" t="s">
        <v>79</v>
      </c>
      <c r="B140" s="188">
        <v>30</v>
      </c>
      <c r="C140" s="188">
        <v>7.02</v>
      </c>
      <c r="D140" s="188">
        <v>210.6</v>
      </c>
    </row>
    <row r="141" spans="1:4" x14ac:dyDescent="0.2">
      <c r="A141" t="s">
        <v>80</v>
      </c>
      <c r="B141" s="188">
        <v>30</v>
      </c>
      <c r="C141" s="188">
        <v>5.38</v>
      </c>
      <c r="D141" s="188">
        <v>161.4</v>
      </c>
    </row>
    <row r="142" spans="1:4" x14ac:dyDescent="0.2">
      <c r="A142" t="s">
        <v>726</v>
      </c>
      <c r="B142" s="188">
        <v>30</v>
      </c>
      <c r="C142" s="188">
        <v>7.76</v>
      </c>
      <c r="D142" s="188">
        <v>232.79999999999998</v>
      </c>
    </row>
    <row r="143" spans="1:4" x14ac:dyDescent="0.2">
      <c r="A143" t="s">
        <v>506</v>
      </c>
      <c r="B143" s="188">
        <v>100</v>
      </c>
      <c r="C143" s="188">
        <v>2.36</v>
      </c>
      <c r="D143" s="188">
        <v>236</v>
      </c>
    </row>
    <row r="144" spans="1:4" x14ac:dyDescent="0.2">
      <c r="A144" t="s">
        <v>550</v>
      </c>
      <c r="B144" s="188">
        <v>100</v>
      </c>
      <c r="C144" s="188">
        <v>3.08</v>
      </c>
      <c r="D144" s="188">
        <v>308</v>
      </c>
    </row>
    <row r="145" spans="1:4" x14ac:dyDescent="0.2">
      <c r="A145" t="s">
        <v>81</v>
      </c>
      <c r="B145" s="188">
        <v>20</v>
      </c>
      <c r="C145" s="188">
        <v>10.58</v>
      </c>
      <c r="D145" s="188">
        <v>211.6</v>
      </c>
    </row>
    <row r="146" spans="1:4" x14ac:dyDescent="0.2">
      <c r="A146" t="s">
        <v>82</v>
      </c>
      <c r="B146" s="188">
        <v>20</v>
      </c>
      <c r="C146" s="188">
        <v>8.5299999999999994</v>
      </c>
      <c r="D146" s="188">
        <v>170.6</v>
      </c>
    </row>
    <row r="147" spans="1:4" x14ac:dyDescent="0.2">
      <c r="A147" t="s">
        <v>83</v>
      </c>
      <c r="B147" s="188">
        <v>30</v>
      </c>
      <c r="C147" s="188">
        <v>8.7799999999999994</v>
      </c>
      <c r="D147" s="188">
        <v>263.39999999999998</v>
      </c>
    </row>
    <row r="148" spans="1:4" x14ac:dyDescent="0.2">
      <c r="A148" t="s">
        <v>345</v>
      </c>
      <c r="B148" s="188">
        <v>20</v>
      </c>
      <c r="C148" s="188">
        <v>6.11</v>
      </c>
      <c r="D148" s="188">
        <v>122.2</v>
      </c>
    </row>
    <row r="149" spans="1:4" x14ac:dyDescent="0.2">
      <c r="A149" t="s">
        <v>84</v>
      </c>
      <c r="B149" s="188">
        <v>10</v>
      </c>
      <c r="C149" s="188">
        <v>9.33</v>
      </c>
      <c r="D149" s="188">
        <v>93.3</v>
      </c>
    </row>
    <row r="150" spans="1:4" x14ac:dyDescent="0.2">
      <c r="A150" t="s">
        <v>85</v>
      </c>
      <c r="B150" s="188">
        <v>10</v>
      </c>
      <c r="C150" s="188">
        <v>4.0999999999999996</v>
      </c>
      <c r="D150" s="188">
        <v>41</v>
      </c>
    </row>
    <row r="151" spans="1:4" x14ac:dyDescent="0.2">
      <c r="A151" t="s">
        <v>410</v>
      </c>
      <c r="B151" s="188">
        <v>110</v>
      </c>
      <c r="C151" s="188">
        <v>2.4</v>
      </c>
      <c r="D151" s="188">
        <v>264</v>
      </c>
    </row>
    <row r="152" spans="1:4" x14ac:dyDescent="0.2">
      <c r="A152" t="s">
        <v>727</v>
      </c>
      <c r="B152" s="188">
        <v>110</v>
      </c>
      <c r="C152" s="188">
        <v>3.06</v>
      </c>
      <c r="D152" s="188">
        <v>336.6</v>
      </c>
    </row>
    <row r="153" spans="1:4" x14ac:dyDescent="0.2">
      <c r="A153" t="s">
        <v>50</v>
      </c>
      <c r="B153" s="188">
        <v>25</v>
      </c>
      <c r="C153" s="188">
        <v>5.88</v>
      </c>
      <c r="D153" s="188">
        <v>147</v>
      </c>
    </row>
    <row r="154" spans="1:4" x14ac:dyDescent="0.2">
      <c r="A154" t="s">
        <v>56</v>
      </c>
      <c r="B154" s="188">
        <v>60</v>
      </c>
      <c r="C154" s="188">
        <v>3.96</v>
      </c>
      <c r="D154" s="188">
        <v>237.6</v>
      </c>
    </row>
    <row r="155" spans="1:4" x14ac:dyDescent="0.2">
      <c r="A155" t="s">
        <v>578</v>
      </c>
      <c r="B155" s="188">
        <v>60</v>
      </c>
      <c r="C155" s="188">
        <v>4.59</v>
      </c>
      <c r="D155" s="188">
        <v>275.39999999999998</v>
      </c>
    </row>
    <row r="156" spans="1:4" x14ac:dyDescent="0.2">
      <c r="A156" t="s">
        <v>507</v>
      </c>
      <c r="B156" s="188">
        <v>7</v>
      </c>
      <c r="C156" s="188">
        <v>12.26</v>
      </c>
      <c r="D156" s="188">
        <v>85.82</v>
      </c>
    </row>
    <row r="157" spans="1:4" x14ac:dyDescent="0.2">
      <c r="A157" t="s">
        <v>508</v>
      </c>
      <c r="B157" s="188">
        <v>7</v>
      </c>
      <c r="C157" s="188">
        <v>77.83</v>
      </c>
      <c r="D157" s="188">
        <v>544.80999999999995</v>
      </c>
    </row>
    <row r="158" spans="1:4" x14ac:dyDescent="0.2">
      <c r="A158" t="s">
        <v>86</v>
      </c>
      <c r="B158" s="188">
        <v>40</v>
      </c>
      <c r="C158" s="188">
        <v>8.76</v>
      </c>
      <c r="D158" s="188">
        <v>350.4</v>
      </c>
    </row>
    <row r="159" spans="1:4" x14ac:dyDescent="0.2">
      <c r="A159" t="s">
        <v>87</v>
      </c>
      <c r="B159" s="188">
        <v>40</v>
      </c>
      <c r="C159" s="188">
        <v>8.7200000000000006</v>
      </c>
      <c r="D159" s="188">
        <v>348.8</v>
      </c>
    </row>
    <row r="160" spans="1:4" x14ac:dyDescent="0.2">
      <c r="A160" t="s">
        <v>346</v>
      </c>
      <c r="B160" s="188">
        <v>20</v>
      </c>
      <c r="C160" s="188">
        <v>72</v>
      </c>
      <c r="D160" s="188">
        <v>1440</v>
      </c>
    </row>
    <row r="161" spans="1:4" x14ac:dyDescent="0.2">
      <c r="A161" t="s">
        <v>347</v>
      </c>
      <c r="B161" s="188">
        <v>20</v>
      </c>
      <c r="C161" s="188">
        <v>69.989999999999995</v>
      </c>
      <c r="D161" s="188">
        <v>1399.8</v>
      </c>
    </row>
    <row r="162" spans="1:4" x14ac:dyDescent="0.2">
      <c r="A162" t="s">
        <v>349</v>
      </c>
      <c r="B162" s="188">
        <v>30</v>
      </c>
      <c r="C162" s="188">
        <v>3.9926666666666661</v>
      </c>
      <c r="D162" s="188">
        <v>119.77999999999999</v>
      </c>
    </row>
    <row r="163" spans="1:4" x14ac:dyDescent="0.2">
      <c r="A163" t="s">
        <v>418</v>
      </c>
      <c r="B163" s="188">
        <v>20</v>
      </c>
      <c r="C163" s="188">
        <v>4.5210000000000008</v>
      </c>
      <c r="D163" s="188">
        <v>90.420000000000016</v>
      </c>
    </row>
    <row r="164" spans="1:4" x14ac:dyDescent="0.2">
      <c r="A164" t="s">
        <v>54</v>
      </c>
      <c r="B164" s="188">
        <v>100</v>
      </c>
      <c r="C164" s="188">
        <v>2.2528000000000001</v>
      </c>
      <c r="D164" s="188">
        <v>225.28</v>
      </c>
    </row>
    <row r="165" spans="1:4" x14ac:dyDescent="0.2">
      <c r="A165" t="s">
        <v>351</v>
      </c>
      <c r="B165" s="188">
        <v>60</v>
      </c>
      <c r="C165" s="188">
        <v>2.6950000000000003</v>
      </c>
      <c r="D165" s="188">
        <v>161.70000000000002</v>
      </c>
    </row>
    <row r="166" spans="1:4" x14ac:dyDescent="0.2">
      <c r="A166" t="s">
        <v>55</v>
      </c>
      <c r="B166" s="188">
        <v>30</v>
      </c>
      <c r="C166" s="188">
        <v>2.64</v>
      </c>
      <c r="D166" s="188" t="s">
        <v>997</v>
      </c>
    </row>
    <row r="167" spans="1:4" x14ac:dyDescent="0.2">
      <c r="A167" t="s">
        <v>712</v>
      </c>
      <c r="B167" s="188">
        <v>15</v>
      </c>
      <c r="C167" s="188">
        <v>5.2582666666666666</v>
      </c>
      <c r="D167" s="188">
        <v>78.873999999999995</v>
      </c>
    </row>
    <row r="168" spans="1:4" x14ac:dyDescent="0.2">
      <c r="A168" t="s">
        <v>713</v>
      </c>
      <c r="B168" s="188">
        <v>12</v>
      </c>
      <c r="C168" s="188">
        <v>5.1697499999999996</v>
      </c>
      <c r="D168" s="188">
        <v>62.036999999999992</v>
      </c>
    </row>
    <row r="169" spans="1:4" x14ac:dyDescent="0.2">
      <c r="A169" t="s">
        <v>714</v>
      </c>
      <c r="B169" s="188">
        <v>25</v>
      </c>
      <c r="C169" s="188">
        <v>3.6850000000000001</v>
      </c>
      <c r="D169" s="188" t="s">
        <v>1001</v>
      </c>
    </row>
    <row r="170" spans="1:4" x14ac:dyDescent="0.2">
      <c r="A170" t="s">
        <v>509</v>
      </c>
      <c r="B170" s="188">
        <v>20</v>
      </c>
      <c r="C170" s="188">
        <v>4.5199999999999996</v>
      </c>
      <c r="D170" s="188">
        <v>90.399999999999991</v>
      </c>
    </row>
    <row r="171" spans="1:4" x14ac:dyDescent="0.2">
      <c r="A171" t="s">
        <v>546</v>
      </c>
      <c r="B171" s="188">
        <v>10</v>
      </c>
      <c r="C171" s="188">
        <v>7.7550000000000008</v>
      </c>
      <c r="D171" s="188">
        <v>77.550000000000011</v>
      </c>
    </row>
    <row r="172" spans="1:4" x14ac:dyDescent="0.2">
      <c r="A172" t="s">
        <v>547</v>
      </c>
      <c r="B172" s="188">
        <v>15</v>
      </c>
      <c r="C172" s="188">
        <v>3.6850000000000001</v>
      </c>
      <c r="D172" s="188">
        <v>55.274999999999999</v>
      </c>
    </row>
    <row r="173" spans="1:4" x14ac:dyDescent="0.2">
      <c r="A173" t="s">
        <v>49</v>
      </c>
      <c r="B173" s="188">
        <v>70</v>
      </c>
      <c r="C173" s="188">
        <v>4.1360000000000001</v>
      </c>
      <c r="D173" s="188">
        <v>289.52</v>
      </c>
    </row>
    <row r="174" spans="1:4" x14ac:dyDescent="0.2">
      <c r="A174" t="s">
        <v>716</v>
      </c>
      <c r="B174" s="188">
        <v>35</v>
      </c>
      <c r="C174" s="188">
        <v>4.4069999999999991</v>
      </c>
      <c r="D174" s="188">
        <v>154.24499999999998</v>
      </c>
    </row>
    <row r="175" spans="1:4" x14ac:dyDescent="0.2">
      <c r="A175" t="s">
        <v>717</v>
      </c>
      <c r="B175" s="188">
        <v>75</v>
      </c>
      <c r="C175" s="188">
        <v>3.6159999999999997</v>
      </c>
      <c r="D175" s="188">
        <v>271.2</v>
      </c>
    </row>
    <row r="176" spans="1:4" x14ac:dyDescent="0.2">
      <c r="A176" t="s">
        <v>414</v>
      </c>
      <c r="B176" s="188">
        <v>37.5</v>
      </c>
      <c r="C176" s="188">
        <v>6.7122000000000002</v>
      </c>
      <c r="D176" s="188">
        <v>251.70750000000001</v>
      </c>
    </row>
    <row r="177" spans="1:4" x14ac:dyDescent="0.2">
      <c r="A177" t="s">
        <v>53</v>
      </c>
      <c r="B177" s="188">
        <v>60</v>
      </c>
      <c r="C177" s="188">
        <v>5.1700000000000008</v>
      </c>
      <c r="D177" s="188">
        <v>310.20000000000005</v>
      </c>
    </row>
    <row r="178" spans="1:4" x14ac:dyDescent="0.2">
      <c r="A178" t="s">
        <v>348</v>
      </c>
      <c r="B178" s="188">
        <v>32.5</v>
      </c>
      <c r="C178" s="188">
        <v>5.988999999999999</v>
      </c>
      <c r="D178" s="188">
        <v>194.64249999999996</v>
      </c>
    </row>
    <row r="179" spans="1:4" x14ac:dyDescent="0.2">
      <c r="A179" t="s">
        <v>1016</v>
      </c>
      <c r="B179" s="188">
        <v>45</v>
      </c>
      <c r="C179" s="188">
        <v>5.2657999999999996</v>
      </c>
      <c r="D179" s="188">
        <v>236.96099999999998</v>
      </c>
    </row>
    <row r="180" spans="1:4" x14ac:dyDescent="0.2">
      <c r="A180" t="s">
        <v>46</v>
      </c>
      <c r="B180" s="188">
        <v>22.5</v>
      </c>
      <c r="C180" s="188">
        <v>8.4071999999999996</v>
      </c>
      <c r="D180" s="188">
        <v>189.16199999999998</v>
      </c>
    </row>
    <row r="181" spans="1:4" x14ac:dyDescent="0.2">
      <c r="A181" t="s">
        <v>417</v>
      </c>
      <c r="B181" s="188">
        <v>20</v>
      </c>
      <c r="C181" s="188">
        <v>65.313999999999993</v>
      </c>
      <c r="D181" s="188">
        <v>1306.2799999999997</v>
      </c>
    </row>
    <row r="182" spans="1:4" x14ac:dyDescent="0.2">
      <c r="A182" t="s">
        <v>1023</v>
      </c>
      <c r="B182" s="188">
        <v>35</v>
      </c>
      <c r="C182" s="188">
        <v>7.6613999999999987</v>
      </c>
      <c r="D182" s="188">
        <v>268.14899999999994</v>
      </c>
    </row>
    <row r="183" spans="1:4" x14ac:dyDescent="0.2">
      <c r="A183" t="s">
        <v>349</v>
      </c>
      <c r="B183" s="188">
        <v>30</v>
      </c>
      <c r="C183" s="188">
        <v>4.5576666666666661</v>
      </c>
      <c r="D183" s="188">
        <v>136.72999999999999</v>
      </c>
    </row>
    <row r="184" spans="1:4" x14ac:dyDescent="0.2">
      <c r="A184" t="s">
        <v>418</v>
      </c>
      <c r="B184" s="188">
        <v>20</v>
      </c>
      <c r="C184" s="188">
        <v>5.2525000000000004</v>
      </c>
      <c r="D184" s="188">
        <v>105.05000000000001</v>
      </c>
    </row>
    <row r="185" spans="1:4" x14ac:dyDescent="0.2">
      <c r="A185" t="s">
        <v>716</v>
      </c>
      <c r="B185" s="188">
        <v>35</v>
      </c>
      <c r="C185" s="188">
        <v>5.54</v>
      </c>
      <c r="D185" s="188">
        <v>193.9</v>
      </c>
    </row>
    <row r="186" spans="1:4" x14ac:dyDescent="0.2">
      <c r="A186" t="s">
        <v>351</v>
      </c>
      <c r="B186" s="188">
        <v>60</v>
      </c>
      <c r="C186" s="188">
        <v>3.0173000000000001</v>
      </c>
      <c r="D186" s="188">
        <v>181.03800000000001</v>
      </c>
    </row>
    <row r="187" spans="1:4" x14ac:dyDescent="0.2">
      <c r="A187" t="s">
        <v>350</v>
      </c>
      <c r="B187" s="188">
        <v>20</v>
      </c>
      <c r="C187" s="188">
        <v>4.1195000000000004</v>
      </c>
      <c r="D187" s="188">
        <v>82.390000000000015</v>
      </c>
    </row>
    <row r="188" spans="1:4" x14ac:dyDescent="0.2">
      <c r="A188" t="s">
        <v>352</v>
      </c>
      <c r="B188" s="188">
        <v>100</v>
      </c>
      <c r="C188" s="188">
        <v>1.7710000000000001</v>
      </c>
      <c r="D188" s="188">
        <v>177.10000000000002</v>
      </c>
    </row>
    <row r="189" spans="1:4" x14ac:dyDescent="0.2">
      <c r="A189" t="s">
        <v>1048</v>
      </c>
      <c r="B189" s="188">
        <v>20</v>
      </c>
      <c r="C189" s="188">
        <v>44</v>
      </c>
      <c r="D189" s="188">
        <v>880</v>
      </c>
    </row>
    <row r="190" spans="1:4" x14ac:dyDescent="0.2">
      <c r="A190" t="s">
        <v>1049</v>
      </c>
      <c r="B190" s="188">
        <v>20</v>
      </c>
      <c r="C190" s="188">
        <v>60</v>
      </c>
      <c r="D190" s="188">
        <v>1200</v>
      </c>
    </row>
    <row r="191" spans="1:4" x14ac:dyDescent="0.2">
      <c r="A191" t="s">
        <v>1050</v>
      </c>
      <c r="B191" s="188">
        <v>20</v>
      </c>
      <c r="C191" s="188">
        <v>70</v>
      </c>
      <c r="D191" s="188">
        <v>1400</v>
      </c>
    </row>
    <row r="192" spans="1:4" x14ac:dyDescent="0.2">
      <c r="A192" t="s">
        <v>730</v>
      </c>
      <c r="B192" s="188">
        <v>24</v>
      </c>
      <c r="C192" s="188">
        <f>D192/B192</f>
        <v>4.0583333333333336</v>
      </c>
      <c r="D192" s="188">
        <v>97.4</v>
      </c>
    </row>
    <row r="193" spans="1:4" x14ac:dyDescent="0.2">
      <c r="A193" t="s">
        <v>729</v>
      </c>
      <c r="B193" s="188">
        <v>26</v>
      </c>
      <c r="C193" s="188">
        <f t="shared" ref="C193:C194" si="0">D193/B193</f>
        <v>3.7576923076923077</v>
      </c>
      <c r="D193" s="188">
        <v>97.7</v>
      </c>
    </row>
    <row r="194" spans="1:4" x14ac:dyDescent="0.2">
      <c r="A194" t="s">
        <v>728</v>
      </c>
      <c r="B194" s="188">
        <v>15</v>
      </c>
      <c r="C194" s="188">
        <f t="shared" si="0"/>
        <v>7.02</v>
      </c>
      <c r="D194" s="188">
        <v>105.3</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N220"/>
  <sheetViews>
    <sheetView showGridLines="0" showZeros="0" zoomScale="85" zoomScaleNormal="85" zoomScaleSheetLayoutView="100" workbookViewId="0">
      <pane xSplit="1" topLeftCell="B1" activePane="topRight" state="frozen"/>
      <selection pane="topRight" activeCell="A2" sqref="A2"/>
    </sheetView>
  </sheetViews>
  <sheetFormatPr baseColWidth="10" defaultRowHeight="15" x14ac:dyDescent="0.25"/>
  <cols>
    <col min="1" max="1" width="45.125" customWidth="1"/>
    <col min="2" max="2" width="27.875" style="35" customWidth="1"/>
    <col min="3" max="3" width="20.875" customWidth="1"/>
    <col min="4" max="4" width="20.125" customWidth="1"/>
    <col min="5" max="5" width="14.625" customWidth="1"/>
    <col min="7" max="7" width="14.25" customWidth="1"/>
    <col min="9" max="9" width="22.375" customWidth="1"/>
    <col min="10" max="10" width="11.5" customWidth="1"/>
    <col min="11" max="11" width="11.75" customWidth="1"/>
    <col min="12" max="12" width="17.375" customWidth="1"/>
    <col min="13" max="13" width="16.625" customWidth="1"/>
    <col min="14" max="14" width="16.5" customWidth="1"/>
  </cols>
  <sheetData>
    <row r="1" spans="1:14" ht="143.25" customHeight="1" thickBot="1" x14ac:dyDescent="0.25">
      <c r="A1" s="52" t="s">
        <v>647</v>
      </c>
      <c r="B1" s="1" t="s">
        <v>1065</v>
      </c>
      <c r="C1" s="2" t="s">
        <v>634</v>
      </c>
      <c r="D1" s="3"/>
      <c r="E1" s="572" t="s">
        <v>0</v>
      </c>
      <c r="F1" s="432"/>
      <c r="G1" s="432"/>
      <c r="H1" s="432"/>
      <c r="I1" s="185" t="str">
        <f>IF(OR($I$2="",$I$2=0),"bitte geben Sie HIER die
Begrünungsfläche  in ha an","Fläche in ha")</f>
        <v>bitte geben Sie HIER die
Begrünungsfläche  in ha an</v>
      </c>
      <c r="J1" s="4" t="s">
        <v>281</v>
      </c>
      <c r="K1" s="4" t="s">
        <v>429</v>
      </c>
      <c r="L1" s="5" t="s">
        <v>282</v>
      </c>
      <c r="M1" s="576" t="s">
        <v>1057</v>
      </c>
      <c r="N1" s="577"/>
    </row>
    <row r="2" spans="1:14" ht="46.5" customHeight="1" thickTop="1" thickBot="1" x14ac:dyDescent="0.25">
      <c r="A2" s="254" t="s">
        <v>538</v>
      </c>
      <c r="B2" s="247" t="s">
        <v>2</v>
      </c>
      <c r="C2" s="241" t="s">
        <v>533</v>
      </c>
      <c r="D2" s="242" t="s">
        <v>4</v>
      </c>
      <c r="E2" s="246" t="s">
        <v>5</v>
      </c>
      <c r="F2" s="243" t="s">
        <v>1</v>
      </c>
      <c r="G2" s="240" t="s">
        <v>285</v>
      </c>
      <c r="H2" s="244" t="s">
        <v>6</v>
      </c>
      <c r="I2" s="258"/>
      <c r="J2" s="271">
        <f>ROUND(SUM(E4:E58),2)</f>
        <v>0</v>
      </c>
      <c r="K2" s="215">
        <f>ROUND(SUM(F4:F58),1)</f>
        <v>0</v>
      </c>
      <c r="L2" s="226">
        <f>SUM(G4:G58)</f>
        <v>0</v>
      </c>
      <c r="M2" s="578"/>
      <c r="N2" s="579"/>
    </row>
    <row r="3" spans="1:14" ht="46.5" customHeight="1" thickBot="1" x14ac:dyDescent="0.25">
      <c r="A3" s="248" t="s">
        <v>7</v>
      </c>
      <c r="B3" s="175"/>
      <c r="C3" s="175"/>
      <c r="D3" s="175"/>
      <c r="E3" s="179" t="s">
        <v>359</v>
      </c>
      <c r="F3" s="175"/>
      <c r="G3" s="175"/>
      <c r="H3" s="176"/>
      <c r="I3" s="170" t="s">
        <v>307</v>
      </c>
      <c r="J3" s="437" t="s">
        <v>437</v>
      </c>
      <c r="K3" s="438"/>
      <c r="L3" s="267" t="str">
        <f>IF('Zusammenfassung BIO'!$H$4=0,"0 %",'Zusammenfassung BIO'!H4)</f>
        <v/>
      </c>
      <c r="M3" s="451" t="str">
        <f>IF(AND(L3&gt;0.6,L3&lt;&gt;"0 %",J2&gt;0),"ACHTUNG Vorfruchtwirkung beachten: 
ungenutzte ZWF &gt; 60 % Leg.: 20 kg N
genutzte ZWF &gt; 60% Leg.: 10 kg N","")</f>
        <v/>
      </c>
      <c r="N3" s="452"/>
    </row>
    <row r="4" spans="1:14" ht="21.75" customHeight="1" thickBot="1" x14ac:dyDescent="0.25">
      <c r="A4" s="171" t="s">
        <v>9</v>
      </c>
      <c r="B4" s="49">
        <f>(4.41+4.97)/2</f>
        <v>4.6899999999999995</v>
      </c>
      <c r="C4" s="50">
        <v>25</v>
      </c>
      <c r="D4" s="48">
        <f>IF(ISERROR(C4*B4),0,C4*B4)</f>
        <v>117.24999999999999</v>
      </c>
      <c r="E4" s="62"/>
      <c r="F4" s="259">
        <f>IF(ISERROR(E4*B4),0,(E4*B4))</f>
        <v>0</v>
      </c>
      <c r="G4" s="63">
        <f>IF(ISERROR(E4/C4),0,(E4/C4))</f>
        <v>0</v>
      </c>
      <c r="H4" s="260">
        <f t="shared" ref="H4:H24" si="0">IF(ISERROR(ROUND($I$2*E4,1)),0,ROUND($I$2*E4,1))</f>
        <v>0</v>
      </c>
      <c r="I4" s="257" t="s">
        <v>312</v>
      </c>
      <c r="J4" s="439" t="s">
        <v>475</v>
      </c>
      <c r="K4" s="440"/>
      <c r="L4" s="441"/>
    </row>
    <row r="5" spans="1:14" ht="21.75" customHeight="1" thickBot="1" x14ac:dyDescent="0.25">
      <c r="A5" s="171" t="s">
        <v>528</v>
      </c>
      <c r="B5" s="49">
        <v>3.34</v>
      </c>
      <c r="C5" s="50">
        <v>25</v>
      </c>
      <c r="D5" s="48">
        <f>IF(ISERROR(C5*B5),0,C5*B5)</f>
        <v>83.5</v>
      </c>
      <c r="E5" s="62"/>
      <c r="F5" s="259">
        <f>IF(ISERROR(E5*B5),0,(E5*B5))</f>
        <v>0</v>
      </c>
      <c r="G5" s="63">
        <f>IF(ISERROR(E5/C5),0,(E5/C5))</f>
        <v>0</v>
      </c>
      <c r="H5" s="260">
        <f t="shared" si="0"/>
        <v>0</v>
      </c>
      <c r="I5" s="257" t="s">
        <v>159</v>
      </c>
      <c r="J5" s="573"/>
      <c r="K5" s="574"/>
      <c r="L5" s="575"/>
    </row>
    <row r="6" spans="1:14" ht="21.75" customHeight="1" thickBot="1" x14ac:dyDescent="0.25">
      <c r="A6" s="171" t="s">
        <v>523</v>
      </c>
      <c r="B6" s="49">
        <v>1.75</v>
      </c>
      <c r="C6" s="50">
        <v>170</v>
      </c>
      <c r="D6" s="48">
        <f>IF(ISERROR(C6*B6),0,C6*B6)</f>
        <v>297.5</v>
      </c>
      <c r="E6" s="62"/>
      <c r="F6" s="259">
        <f>IF(ISERROR(E6*B6),0,(E6*B6))</f>
        <v>0</v>
      </c>
      <c r="G6" s="63">
        <f>IF(ISERROR(E6/C6),0,(E6/C6))</f>
        <v>0</v>
      </c>
      <c r="H6" s="260">
        <f t="shared" si="0"/>
        <v>0</v>
      </c>
      <c r="I6" s="257" t="s">
        <v>312</v>
      </c>
      <c r="J6" s="415" t="str">
        <f>IF(L6="","Wirtschaftsdüngerart auswählen ►","genutzte Wirtschaftsdüngerart:")</f>
        <v>Wirtschaftsdüngerart auswählen ►</v>
      </c>
      <c r="K6" s="416"/>
      <c r="L6" s="419"/>
    </row>
    <row r="7" spans="1:14" ht="21.75" customHeight="1" thickBot="1" x14ac:dyDescent="0.25">
      <c r="A7" s="171" t="s">
        <v>649</v>
      </c>
      <c r="B7" s="49">
        <f>(2.76+2.86)/2</f>
        <v>2.8099999999999996</v>
      </c>
      <c r="C7" s="50">
        <v>60</v>
      </c>
      <c r="D7" s="48">
        <f>IF(ISERROR(C7*B7),0,C7*B7)</f>
        <v>168.59999999999997</v>
      </c>
      <c r="E7" s="62"/>
      <c r="F7" s="259">
        <f>IF(ISERROR(E7*B7),0,(E7*B7))</f>
        <v>0</v>
      </c>
      <c r="G7" s="63">
        <f>IF(ISERROR(E7/C7),0,(E7/C7))</f>
        <v>0</v>
      </c>
      <c r="H7" s="260">
        <f t="shared" si="0"/>
        <v>0</v>
      </c>
      <c r="I7" s="257" t="s">
        <v>313</v>
      </c>
      <c r="J7" s="417"/>
      <c r="K7" s="418"/>
      <c r="L7" s="420"/>
    </row>
    <row r="8" spans="1:14" ht="21.75" customHeight="1" thickBot="1" x14ac:dyDescent="0.25">
      <c r="A8" s="171" t="s">
        <v>529</v>
      </c>
      <c r="B8" s="49">
        <f>(2.2+2.31)/2</f>
        <v>2.2549999999999999</v>
      </c>
      <c r="C8" s="50">
        <v>60</v>
      </c>
      <c r="D8" s="48">
        <f t="shared" ref="D8:D26" si="1">IF(ISERROR(C8*B8),0,C8*B8)</f>
        <v>135.29999999999998</v>
      </c>
      <c r="E8" s="62"/>
      <c r="F8" s="259">
        <f>IF(ISERROR(E8*B8),0,(E8*B8))</f>
        <v>0</v>
      </c>
      <c r="G8" s="63">
        <f>IF(ISERROR(E8/C8),0,(E8/C8))</f>
        <v>0</v>
      </c>
      <c r="H8" s="260">
        <f t="shared" si="0"/>
        <v>0</v>
      </c>
      <c r="I8" s="257" t="s">
        <v>313</v>
      </c>
      <c r="J8" s="587" t="s">
        <v>630</v>
      </c>
      <c r="K8" s="588"/>
      <c r="L8" s="589" t="str">
        <f>IF(L6="",CONCATENATE('BIO (2)'!Z13," kg N ab Lager"),CONCATENATE('BIO (2)'!Z13," kg N ab Lager (",'BIO (2)'!AA13," kg N jw)",""))</f>
        <v>60 kg N ab Lager</v>
      </c>
    </row>
    <row r="9" spans="1:14" ht="21.75" customHeight="1" thickBot="1" x14ac:dyDescent="0.25">
      <c r="A9" s="171" t="s">
        <v>90</v>
      </c>
      <c r="B9" s="49">
        <v>3.74</v>
      </c>
      <c r="C9" s="50">
        <v>40</v>
      </c>
      <c r="D9" s="48">
        <f t="shared" si="1"/>
        <v>149.60000000000002</v>
      </c>
      <c r="E9" s="62"/>
      <c r="F9" s="259">
        <f t="shared" ref="F9:F10" si="2">IF(ISERROR(E9*B9),0,(E9*B9))</f>
        <v>0</v>
      </c>
      <c r="G9" s="63">
        <f t="shared" ref="G9:G10" si="3">IF(ISERROR(E9/C9),0,(E9/C9))</f>
        <v>0</v>
      </c>
      <c r="H9" s="260">
        <f t="shared" si="0"/>
        <v>0</v>
      </c>
      <c r="I9" s="257" t="s">
        <v>159</v>
      </c>
      <c r="J9" s="423"/>
      <c r="K9" s="424"/>
      <c r="L9" s="590"/>
    </row>
    <row r="10" spans="1:14" ht="21.75" customHeight="1" thickBot="1" x14ac:dyDescent="0.25">
      <c r="A10" s="171" t="s">
        <v>12</v>
      </c>
      <c r="B10" s="49">
        <v>4.9400000000000004</v>
      </c>
      <c r="C10" s="50">
        <v>30</v>
      </c>
      <c r="D10" s="48">
        <f t="shared" si="1"/>
        <v>148.20000000000002</v>
      </c>
      <c r="E10" s="62"/>
      <c r="F10" s="259">
        <f t="shared" si="2"/>
        <v>0</v>
      </c>
      <c r="G10" s="63">
        <f t="shared" si="3"/>
        <v>0</v>
      </c>
      <c r="H10" s="260">
        <f t="shared" si="0"/>
        <v>0</v>
      </c>
      <c r="I10" s="257" t="s">
        <v>159</v>
      </c>
      <c r="J10" s="427" t="s">
        <v>632</v>
      </c>
      <c r="K10" s="428"/>
      <c r="L10" s="425" t="str">
        <f>IF(L6="",CONCATENATE('BIO (2)'!Z12," kg N ab Lager"),CONCATENATE('BIO (2)'!Z12," kg N ab Lager (",'BIO (2)'!AA12," kg N jw)",""))</f>
        <v>60 kg N ab Lager</v>
      </c>
    </row>
    <row r="11" spans="1:14" ht="21.75" customHeight="1" thickBot="1" x14ac:dyDescent="0.25">
      <c r="A11" s="171" t="s">
        <v>440</v>
      </c>
      <c r="B11" s="49">
        <v>6.58</v>
      </c>
      <c r="C11" s="50">
        <v>180</v>
      </c>
      <c r="D11" s="48">
        <f t="shared" si="1"/>
        <v>1184.4000000000001</v>
      </c>
      <c r="E11" s="62"/>
      <c r="F11" s="259">
        <f t="shared" ref="F11" si="4">IF(ISERROR(E11*B11),0,(E11*B11))</f>
        <v>0</v>
      </c>
      <c r="G11" s="63">
        <f t="shared" ref="G11" si="5">IF(ISERROR(E11/C11),0,(E11/C11))</f>
        <v>0</v>
      </c>
      <c r="H11" s="260">
        <f t="shared" si="0"/>
        <v>0</v>
      </c>
      <c r="I11" s="257" t="s">
        <v>312</v>
      </c>
      <c r="J11" s="582"/>
      <c r="K11" s="583"/>
      <c r="L11" s="584"/>
    </row>
    <row r="12" spans="1:14" ht="21.75" customHeight="1" thickBot="1" x14ac:dyDescent="0.25">
      <c r="A12" s="171" t="s">
        <v>308</v>
      </c>
      <c r="B12" s="49">
        <f>(1.43+2.1)/2</f>
        <v>1.7650000000000001</v>
      </c>
      <c r="C12" s="50">
        <v>160</v>
      </c>
      <c r="D12" s="48">
        <f t="shared" si="1"/>
        <v>282.40000000000003</v>
      </c>
      <c r="E12" s="62"/>
      <c r="F12" s="259">
        <f t="shared" ref="F12:F24" si="6">IF(ISERROR(E12*B12),0,(E12*B12))</f>
        <v>0</v>
      </c>
      <c r="G12" s="63">
        <f t="shared" ref="G12:G24" si="7">IF(ISERROR(E12/C12),0,(E12/C12))</f>
        <v>0</v>
      </c>
      <c r="H12" s="260">
        <f t="shared" si="0"/>
        <v>0</v>
      </c>
      <c r="I12" s="257" t="s">
        <v>312</v>
      </c>
      <c r="J12" s="415" t="str">
        <f>IFERROR(IF('BIO (2)'!Z7="langsam","",IF(OR('BIO (2)'!Z7="leicht",L6=""),"Herbstdüngegrenze von 60 kg N ab Lager ab der Ernte der letzten Hauptkultur beachten","")),"Herbstdüngegrenze von 60 kg N ab Lager ab der Ernte der letzten Hauptkultur beachten")</f>
        <v>Herbstdüngegrenze von 60 kg N ab Lager ab der Ernte der letzten Hauptkultur beachten</v>
      </c>
      <c r="K12" s="585"/>
      <c r="L12" s="416"/>
    </row>
    <row r="13" spans="1:14" ht="21.75" customHeight="1" thickBot="1" x14ac:dyDescent="0.25">
      <c r="A13" s="171" t="s">
        <v>521</v>
      </c>
      <c r="B13" s="49">
        <f>(9.38+10.78)/2</f>
        <v>10.08</v>
      </c>
      <c r="C13" s="50">
        <v>30</v>
      </c>
      <c r="D13" s="48">
        <f t="shared" si="1"/>
        <v>302.39999999999998</v>
      </c>
      <c r="E13" s="62"/>
      <c r="F13" s="259">
        <f t="shared" si="6"/>
        <v>0</v>
      </c>
      <c r="G13" s="63">
        <f t="shared" si="7"/>
        <v>0</v>
      </c>
      <c r="H13" s="260">
        <f t="shared" si="0"/>
        <v>0</v>
      </c>
      <c r="I13" s="257" t="s">
        <v>312</v>
      </c>
      <c r="J13" s="417"/>
      <c r="K13" s="586"/>
      <c r="L13" s="418"/>
    </row>
    <row r="14" spans="1:14" ht="21.75" customHeight="1" thickBot="1" x14ac:dyDescent="0.25">
      <c r="A14" s="171" t="s">
        <v>651</v>
      </c>
      <c r="B14" s="49">
        <v>13.64</v>
      </c>
      <c r="C14" s="50">
        <v>30</v>
      </c>
      <c r="D14" s="48">
        <f t="shared" si="1"/>
        <v>409.20000000000005</v>
      </c>
      <c r="E14" s="62"/>
      <c r="F14" s="259"/>
      <c r="G14" s="63">
        <f t="shared" si="7"/>
        <v>0</v>
      </c>
      <c r="H14" s="260"/>
      <c r="I14" s="257" t="s">
        <v>159</v>
      </c>
      <c r="J14" s="521" t="s">
        <v>1055</v>
      </c>
      <c r="K14" s="591"/>
      <c r="L14" s="522"/>
    </row>
    <row r="15" spans="1:14" ht="21.75" customHeight="1" thickBot="1" x14ac:dyDescent="0.25">
      <c r="A15" s="171" t="s">
        <v>530</v>
      </c>
      <c r="B15" s="49">
        <v>5.23</v>
      </c>
      <c r="C15" s="50">
        <v>15</v>
      </c>
      <c r="D15" s="48">
        <f t="shared" si="1"/>
        <v>78.45</v>
      </c>
      <c r="E15" s="62"/>
      <c r="F15" s="259">
        <f t="shared" si="6"/>
        <v>0</v>
      </c>
      <c r="G15" s="63">
        <f t="shared" si="7"/>
        <v>0</v>
      </c>
      <c r="H15" s="260">
        <f t="shared" si="0"/>
        <v>0</v>
      </c>
      <c r="I15" s="257" t="s">
        <v>159</v>
      </c>
      <c r="J15" s="476"/>
      <c r="K15" s="477"/>
      <c r="L15" s="478"/>
    </row>
    <row r="16" spans="1:14" ht="21.75" customHeight="1" thickBot="1" x14ac:dyDescent="0.25">
      <c r="A16" s="171" t="s">
        <v>522</v>
      </c>
      <c r="B16" s="49">
        <f>(12.63+16.62)/2</f>
        <v>14.625</v>
      </c>
      <c r="C16" s="50">
        <v>20</v>
      </c>
      <c r="D16" s="48">
        <f t="shared" si="1"/>
        <v>292.5</v>
      </c>
      <c r="E16" s="62"/>
      <c r="F16" s="259">
        <f t="shared" si="6"/>
        <v>0</v>
      </c>
      <c r="G16" s="63">
        <f t="shared" si="7"/>
        <v>0</v>
      </c>
      <c r="H16" s="260">
        <f t="shared" si="0"/>
        <v>0</v>
      </c>
      <c r="I16" s="257" t="s">
        <v>312</v>
      </c>
      <c r="J16" s="476"/>
      <c r="K16" s="477"/>
      <c r="L16" s="478"/>
    </row>
    <row r="17" spans="1:12" ht="21.75" customHeight="1" thickBot="1" x14ac:dyDescent="0.25">
      <c r="A17" s="171" t="s">
        <v>17</v>
      </c>
      <c r="B17" s="49">
        <v>5.13</v>
      </c>
      <c r="C17" s="50">
        <v>30</v>
      </c>
      <c r="D17" s="48">
        <f t="shared" si="1"/>
        <v>153.9</v>
      </c>
      <c r="E17" s="62"/>
      <c r="F17" s="259">
        <f t="shared" si="6"/>
        <v>0</v>
      </c>
      <c r="G17" s="63">
        <f t="shared" si="7"/>
        <v>0</v>
      </c>
      <c r="H17" s="260">
        <f t="shared" si="0"/>
        <v>0</v>
      </c>
      <c r="I17" s="257" t="s">
        <v>312</v>
      </c>
      <c r="J17" s="476"/>
      <c r="K17" s="477"/>
      <c r="L17" s="478"/>
    </row>
    <row r="18" spans="1:12" ht="21.75" customHeight="1" thickBot="1" x14ac:dyDescent="0.25">
      <c r="A18" s="171" t="s">
        <v>377</v>
      </c>
      <c r="B18" s="49">
        <v>3.89</v>
      </c>
      <c r="C18" s="50">
        <v>40</v>
      </c>
      <c r="D18" s="48">
        <f t="shared" si="1"/>
        <v>155.6</v>
      </c>
      <c r="E18" s="62"/>
      <c r="F18" s="259">
        <f t="shared" si="6"/>
        <v>0</v>
      </c>
      <c r="G18" s="63">
        <f t="shared" si="7"/>
        <v>0</v>
      </c>
      <c r="H18" s="260">
        <f t="shared" si="0"/>
        <v>0</v>
      </c>
      <c r="I18" s="257" t="s">
        <v>159</v>
      </c>
      <c r="J18" s="476"/>
      <c r="K18" s="477"/>
      <c r="L18" s="478"/>
    </row>
    <row r="19" spans="1:12" ht="21.75" customHeight="1" thickBot="1" x14ac:dyDescent="0.25">
      <c r="A19" s="171" t="s">
        <v>18</v>
      </c>
      <c r="B19" s="49">
        <v>11.58</v>
      </c>
      <c r="C19" s="50">
        <v>10</v>
      </c>
      <c r="D19" s="48">
        <f t="shared" si="1"/>
        <v>115.8</v>
      </c>
      <c r="E19" s="62"/>
      <c r="F19" s="259">
        <f t="shared" si="6"/>
        <v>0</v>
      </c>
      <c r="G19" s="63">
        <f t="shared" si="7"/>
        <v>0</v>
      </c>
      <c r="H19" s="260">
        <f t="shared" si="0"/>
        <v>0</v>
      </c>
      <c r="I19" s="257" t="s">
        <v>117</v>
      </c>
      <c r="J19" s="592" t="s">
        <v>537</v>
      </c>
      <c r="K19" s="495"/>
      <c r="L19" s="496"/>
    </row>
    <row r="20" spans="1:12" ht="21.75" customHeight="1" thickBot="1" x14ac:dyDescent="0.25">
      <c r="A20" s="171" t="s">
        <v>515</v>
      </c>
      <c r="B20" s="49">
        <v>4.53</v>
      </c>
      <c r="C20" s="50">
        <v>10</v>
      </c>
      <c r="D20" s="48">
        <f t="shared" si="1"/>
        <v>45.300000000000004</v>
      </c>
      <c r="E20" s="62"/>
      <c r="F20" s="259">
        <f t="shared" si="6"/>
        <v>0</v>
      </c>
      <c r="G20" s="63">
        <f t="shared" si="7"/>
        <v>0</v>
      </c>
      <c r="H20" s="260">
        <f t="shared" si="0"/>
        <v>0</v>
      </c>
      <c r="I20" s="257" t="s">
        <v>117</v>
      </c>
      <c r="J20" s="593"/>
      <c r="K20" s="594"/>
      <c r="L20" s="595"/>
    </row>
    <row r="21" spans="1:12" ht="21.75" customHeight="1" thickBot="1" x14ac:dyDescent="0.25">
      <c r="A21" s="171" t="s">
        <v>752</v>
      </c>
      <c r="B21" s="49">
        <v>12.05</v>
      </c>
      <c r="C21" s="50">
        <v>12</v>
      </c>
      <c r="D21" s="48">
        <f t="shared" si="1"/>
        <v>144.60000000000002</v>
      </c>
      <c r="E21" s="62"/>
      <c r="F21" s="259">
        <f t="shared" si="6"/>
        <v>0</v>
      </c>
      <c r="G21" s="63">
        <f t="shared" si="7"/>
        <v>0</v>
      </c>
      <c r="H21" s="260">
        <f t="shared" si="0"/>
        <v>0</v>
      </c>
      <c r="I21" s="257" t="s">
        <v>316</v>
      </c>
    </row>
    <row r="22" spans="1:12" ht="21.75" customHeight="1" thickBot="1" x14ac:dyDescent="0.25">
      <c r="A22" s="171" t="s">
        <v>20</v>
      </c>
      <c r="B22" s="49">
        <f>(8.47+8.7)/2</f>
        <v>8.5850000000000009</v>
      </c>
      <c r="C22" s="50">
        <v>10</v>
      </c>
      <c r="D22" s="48">
        <f t="shared" si="1"/>
        <v>85.850000000000009</v>
      </c>
      <c r="E22" s="62"/>
      <c r="F22" s="259">
        <f t="shared" si="6"/>
        <v>0</v>
      </c>
      <c r="G22" s="63">
        <f t="shared" si="7"/>
        <v>0</v>
      </c>
      <c r="H22" s="260">
        <f t="shared" si="0"/>
        <v>0</v>
      </c>
      <c r="I22" s="257" t="s">
        <v>117</v>
      </c>
    </row>
    <row r="23" spans="1:12" ht="21.75" customHeight="1" thickBot="1" x14ac:dyDescent="0.25">
      <c r="A23" s="171" t="s">
        <v>442</v>
      </c>
      <c r="B23" s="49">
        <v>4.91</v>
      </c>
      <c r="C23" s="50">
        <v>80</v>
      </c>
      <c r="D23" s="48">
        <f t="shared" si="1"/>
        <v>392.8</v>
      </c>
      <c r="E23" s="62"/>
      <c r="F23" s="259">
        <f t="shared" si="6"/>
        <v>0</v>
      </c>
      <c r="G23" s="63">
        <f t="shared" si="7"/>
        <v>0</v>
      </c>
      <c r="H23" s="260">
        <f t="shared" si="0"/>
        <v>0</v>
      </c>
      <c r="I23" s="257" t="s">
        <v>312</v>
      </c>
    </row>
    <row r="24" spans="1:12" ht="21.75" customHeight="1" thickBot="1" x14ac:dyDescent="0.25">
      <c r="A24" s="171" t="s">
        <v>22</v>
      </c>
      <c r="B24" s="49">
        <f>(9.49+10.25)/2</f>
        <v>9.870000000000001</v>
      </c>
      <c r="C24" s="50">
        <v>25</v>
      </c>
      <c r="D24" s="48">
        <f t="shared" si="1"/>
        <v>246.75000000000003</v>
      </c>
      <c r="E24" s="62"/>
      <c r="F24" s="259">
        <f t="shared" si="6"/>
        <v>0</v>
      </c>
      <c r="G24" s="63">
        <f t="shared" si="7"/>
        <v>0</v>
      </c>
      <c r="H24" s="260">
        <f t="shared" si="0"/>
        <v>0</v>
      </c>
      <c r="I24" s="257" t="s">
        <v>312</v>
      </c>
    </row>
    <row r="25" spans="1:12" ht="21.75" customHeight="1" thickBot="1" x14ac:dyDescent="0.25">
      <c r="A25" s="171" t="s">
        <v>309</v>
      </c>
      <c r="B25" s="49">
        <v>9.49</v>
      </c>
      <c r="C25" s="50">
        <v>7</v>
      </c>
      <c r="D25" s="48">
        <f t="shared" si="1"/>
        <v>66.430000000000007</v>
      </c>
      <c r="E25" s="62"/>
      <c r="F25" s="259">
        <f>IF(ISERROR(E25*B25),0,(E25*B25))</f>
        <v>0</v>
      </c>
      <c r="G25" s="63">
        <f>IF(ISERROR(E25/C25),0,(E25/C25))</f>
        <v>0</v>
      </c>
      <c r="H25" s="260">
        <f>IF(ISERROR(ROUND($I$2*E25,1)),0,ROUND($I$2*E25,1))</f>
        <v>0</v>
      </c>
      <c r="I25" s="257" t="s">
        <v>117</v>
      </c>
    </row>
    <row r="26" spans="1:12" ht="21.75" customHeight="1" thickBot="1" x14ac:dyDescent="0.25">
      <c r="A26" s="171" t="s">
        <v>514</v>
      </c>
      <c r="B26" s="49">
        <f>(6.81+8.7)/2</f>
        <v>7.754999999999999</v>
      </c>
      <c r="C26" s="50">
        <v>7</v>
      </c>
      <c r="D26" s="48">
        <f t="shared" si="1"/>
        <v>54.284999999999997</v>
      </c>
      <c r="E26" s="62"/>
      <c r="F26" s="259">
        <f t="shared" ref="F26:F51" si="8">IF(ISERROR(E26*B26),0,(E26*B26))</f>
        <v>0</v>
      </c>
      <c r="G26" s="63">
        <f t="shared" ref="G26:G51" si="9">IF(ISERROR(E26/C26),0,(E26/C26))</f>
        <v>0</v>
      </c>
      <c r="H26" s="260">
        <f t="shared" ref="H26:H51" si="10">IF(ISERROR(ROUND($I$2*E26,1)),0,ROUND($I$2*E26,1))</f>
        <v>0</v>
      </c>
      <c r="I26" s="257" t="s">
        <v>117</v>
      </c>
    </row>
    <row r="27" spans="1:12" ht="30.75" thickBot="1" x14ac:dyDescent="0.25">
      <c r="A27" s="17" t="s">
        <v>638</v>
      </c>
      <c r="B27" s="49">
        <f>(4.03+4.18)/2</f>
        <v>4.1050000000000004</v>
      </c>
      <c r="C27" s="50">
        <v>10</v>
      </c>
      <c r="D27" s="48">
        <f t="shared" ref="D27:D32" si="11">IF(ISERROR(C27*B27),0,C27*B27)</f>
        <v>41.050000000000004</v>
      </c>
      <c r="E27" s="62"/>
      <c r="F27" s="259">
        <f t="shared" si="8"/>
        <v>0</v>
      </c>
      <c r="G27" s="63">
        <f t="shared" si="9"/>
        <v>0</v>
      </c>
      <c r="H27" s="260">
        <f t="shared" si="10"/>
        <v>0</v>
      </c>
      <c r="I27" s="257" t="s">
        <v>314</v>
      </c>
    </row>
    <row r="28" spans="1:12" ht="16.5" thickBot="1" x14ac:dyDescent="0.25">
      <c r="A28" s="24" t="s">
        <v>653</v>
      </c>
      <c r="B28" s="49">
        <v>4.29</v>
      </c>
      <c r="C28" s="50">
        <v>30</v>
      </c>
      <c r="D28" s="48">
        <f t="shared" si="11"/>
        <v>128.69999999999999</v>
      </c>
      <c r="E28" s="62"/>
      <c r="F28" s="259"/>
      <c r="G28" s="63">
        <f t="shared" si="9"/>
        <v>0</v>
      </c>
      <c r="H28" s="260"/>
      <c r="I28" s="257" t="s">
        <v>357</v>
      </c>
    </row>
    <row r="29" spans="1:12" ht="21.75" customHeight="1" thickBot="1" x14ac:dyDescent="0.25">
      <c r="A29" s="171" t="s">
        <v>310</v>
      </c>
      <c r="B29" s="49">
        <f>(3.92+4.54)/2</f>
        <v>4.2300000000000004</v>
      </c>
      <c r="C29" s="50">
        <v>20</v>
      </c>
      <c r="D29" s="48">
        <f t="shared" si="11"/>
        <v>84.600000000000009</v>
      </c>
      <c r="E29" s="62"/>
      <c r="F29" s="259">
        <f t="shared" si="8"/>
        <v>0</v>
      </c>
      <c r="G29" s="63">
        <f t="shared" si="9"/>
        <v>0</v>
      </c>
      <c r="H29" s="260">
        <f t="shared" si="10"/>
        <v>0</v>
      </c>
      <c r="I29" s="257" t="s">
        <v>117</v>
      </c>
    </row>
    <row r="30" spans="1:12" ht="21.75" customHeight="1" thickBot="1" x14ac:dyDescent="0.25">
      <c r="A30" s="171" t="s">
        <v>531</v>
      </c>
      <c r="B30" s="49">
        <v>7.6</v>
      </c>
      <c r="C30" s="50">
        <v>20</v>
      </c>
      <c r="D30" s="48">
        <f t="shared" si="11"/>
        <v>152</v>
      </c>
      <c r="E30" s="62"/>
      <c r="F30" s="259">
        <f t="shared" si="8"/>
        <v>0</v>
      </c>
      <c r="G30" s="63">
        <f t="shared" si="9"/>
        <v>0</v>
      </c>
      <c r="H30" s="260">
        <f t="shared" si="10"/>
        <v>0</v>
      </c>
      <c r="I30" s="257" t="s">
        <v>312</v>
      </c>
    </row>
    <row r="31" spans="1:12" ht="21.75" customHeight="1" thickBot="1" x14ac:dyDescent="0.25">
      <c r="A31" s="171" t="s">
        <v>654</v>
      </c>
      <c r="B31" s="49">
        <f>(9.05+9.38)/2</f>
        <v>9.2149999999999999</v>
      </c>
      <c r="C31" s="50">
        <v>12</v>
      </c>
      <c r="D31" s="48">
        <f t="shared" si="11"/>
        <v>110.58</v>
      </c>
      <c r="E31" s="62"/>
      <c r="F31" s="259">
        <f t="shared" si="8"/>
        <v>0</v>
      </c>
      <c r="G31" s="63">
        <f t="shared" si="9"/>
        <v>0</v>
      </c>
      <c r="H31" s="260">
        <f t="shared" si="10"/>
        <v>0</v>
      </c>
      <c r="I31" s="257" t="s">
        <v>315</v>
      </c>
    </row>
    <row r="32" spans="1:12" ht="21.75" customHeight="1" thickBot="1" x14ac:dyDescent="0.25">
      <c r="A32" s="171" t="s">
        <v>28</v>
      </c>
      <c r="B32" s="49">
        <v>3.3</v>
      </c>
      <c r="C32" s="50">
        <v>140</v>
      </c>
      <c r="D32" s="48">
        <f t="shared" si="11"/>
        <v>462</v>
      </c>
      <c r="E32" s="62"/>
      <c r="F32" s="259">
        <f t="shared" si="8"/>
        <v>0</v>
      </c>
      <c r="G32" s="63">
        <f t="shared" si="9"/>
        <v>0</v>
      </c>
      <c r="H32" s="260">
        <f t="shared" si="10"/>
        <v>0</v>
      </c>
      <c r="I32" s="257" t="s">
        <v>312</v>
      </c>
    </row>
    <row r="33" spans="1:9" ht="21.75" customHeight="1" thickBot="1" x14ac:dyDescent="0.25">
      <c r="A33" s="171" t="s">
        <v>524</v>
      </c>
      <c r="B33" s="49">
        <v>19.91</v>
      </c>
      <c r="C33" s="50">
        <v>10</v>
      </c>
      <c r="D33" s="48">
        <f t="shared" ref="D33:D51" si="12">IF(ISERROR(C33*B33),0,C33*B33)</f>
        <v>199.1</v>
      </c>
      <c r="E33" s="62"/>
      <c r="F33" s="259">
        <f t="shared" si="8"/>
        <v>0</v>
      </c>
      <c r="G33" s="63">
        <f t="shared" si="9"/>
        <v>0</v>
      </c>
      <c r="H33" s="260">
        <f t="shared" si="10"/>
        <v>0</v>
      </c>
      <c r="I33" s="257" t="s">
        <v>314</v>
      </c>
    </row>
    <row r="34" spans="1:9" ht="21.75" customHeight="1" thickBot="1" x14ac:dyDescent="0.25">
      <c r="A34" s="171" t="s">
        <v>31</v>
      </c>
      <c r="B34" s="49">
        <f>(8.76+9.45)/2</f>
        <v>9.1050000000000004</v>
      </c>
      <c r="C34" s="50">
        <v>25</v>
      </c>
      <c r="D34" s="48">
        <f t="shared" si="12"/>
        <v>227.625</v>
      </c>
      <c r="E34" s="62"/>
      <c r="F34" s="259">
        <f t="shared" si="8"/>
        <v>0</v>
      </c>
      <c r="G34" s="63">
        <f t="shared" si="9"/>
        <v>0</v>
      </c>
      <c r="H34" s="260">
        <f t="shared" si="10"/>
        <v>0</v>
      </c>
      <c r="I34" s="257" t="s">
        <v>312</v>
      </c>
    </row>
    <row r="35" spans="1:9" ht="21.75" customHeight="1" thickBot="1" x14ac:dyDescent="0.25">
      <c r="A35" s="171" t="s">
        <v>532</v>
      </c>
      <c r="B35" s="49">
        <v>2.2000000000000002</v>
      </c>
      <c r="C35" s="50">
        <v>110</v>
      </c>
      <c r="D35" s="48">
        <f t="shared" si="12"/>
        <v>242.00000000000003</v>
      </c>
      <c r="E35" s="62"/>
      <c r="F35" s="259">
        <f t="shared" si="8"/>
        <v>0</v>
      </c>
      <c r="G35" s="63">
        <f t="shared" si="9"/>
        <v>0</v>
      </c>
      <c r="H35" s="260">
        <f t="shared" si="10"/>
        <v>0</v>
      </c>
      <c r="I35" s="257" t="s">
        <v>312</v>
      </c>
    </row>
    <row r="36" spans="1:9" ht="21.75" customHeight="1" thickBot="1" x14ac:dyDescent="0.25">
      <c r="A36" s="171" t="s">
        <v>535</v>
      </c>
      <c r="B36" s="49">
        <f>(2.66+2.8)/2</f>
        <v>2.73</v>
      </c>
      <c r="C36" s="50">
        <v>130</v>
      </c>
      <c r="D36" s="48">
        <f t="shared" si="12"/>
        <v>354.9</v>
      </c>
      <c r="E36" s="62"/>
      <c r="F36" s="259">
        <f t="shared" si="8"/>
        <v>0</v>
      </c>
      <c r="G36" s="63">
        <f t="shared" si="9"/>
        <v>0</v>
      </c>
      <c r="H36" s="260">
        <f t="shared" si="10"/>
        <v>0</v>
      </c>
      <c r="I36" s="257" t="s">
        <v>312</v>
      </c>
    </row>
    <row r="37" spans="1:9" ht="21.75" customHeight="1" thickBot="1" x14ac:dyDescent="0.25">
      <c r="A37" s="171" t="s">
        <v>1058</v>
      </c>
      <c r="B37" s="49">
        <v>5.95</v>
      </c>
      <c r="C37" s="50">
        <v>10</v>
      </c>
      <c r="D37" s="48">
        <f t="shared" si="12"/>
        <v>59.5</v>
      </c>
      <c r="E37" s="62"/>
      <c r="F37" s="259">
        <f t="shared" si="8"/>
        <v>0</v>
      </c>
      <c r="G37" s="63">
        <f t="shared" si="9"/>
        <v>0</v>
      </c>
      <c r="H37" s="260">
        <f t="shared" si="10"/>
        <v>0</v>
      </c>
      <c r="I37" s="257" t="s">
        <v>117</v>
      </c>
    </row>
    <row r="38" spans="1:9" ht="21.75" customHeight="1" thickBot="1" x14ac:dyDescent="0.25">
      <c r="A38" s="171" t="s">
        <v>525</v>
      </c>
      <c r="B38" s="49">
        <f>(10.78+14.64)/2</f>
        <v>12.71</v>
      </c>
      <c r="C38" s="50">
        <v>20</v>
      </c>
      <c r="D38" s="48">
        <f t="shared" si="12"/>
        <v>254.20000000000002</v>
      </c>
      <c r="E38" s="62"/>
      <c r="F38" s="259">
        <f t="shared" si="8"/>
        <v>0</v>
      </c>
      <c r="G38" s="63">
        <f t="shared" si="9"/>
        <v>0</v>
      </c>
      <c r="H38" s="260">
        <f t="shared" si="10"/>
        <v>0</v>
      </c>
      <c r="I38" s="257" t="s">
        <v>312</v>
      </c>
    </row>
    <row r="39" spans="1:9" ht="21.75" customHeight="1" thickBot="1" x14ac:dyDescent="0.25">
      <c r="A39" s="171" t="s">
        <v>35</v>
      </c>
      <c r="B39" s="49">
        <v>2.98</v>
      </c>
      <c r="C39" s="50">
        <v>15</v>
      </c>
      <c r="D39" s="48">
        <f t="shared" si="12"/>
        <v>44.7</v>
      </c>
      <c r="E39" s="62"/>
      <c r="F39" s="259">
        <f t="shared" si="8"/>
        <v>0</v>
      </c>
      <c r="G39" s="63">
        <f t="shared" si="9"/>
        <v>0</v>
      </c>
      <c r="H39" s="260">
        <f t="shared" si="10"/>
        <v>0</v>
      </c>
      <c r="I39" s="257" t="s">
        <v>117</v>
      </c>
    </row>
    <row r="40" spans="1:9" ht="21.75" customHeight="1" thickBot="1" x14ac:dyDescent="0.25">
      <c r="A40" s="171" t="s">
        <v>518</v>
      </c>
      <c r="B40" s="49">
        <f>(2.4+5.39)/2</f>
        <v>3.8949999999999996</v>
      </c>
      <c r="C40" s="50">
        <v>15</v>
      </c>
      <c r="D40" s="48">
        <f t="shared" si="12"/>
        <v>58.424999999999997</v>
      </c>
      <c r="E40" s="62"/>
      <c r="F40" s="259">
        <f t="shared" si="8"/>
        <v>0</v>
      </c>
      <c r="G40" s="63">
        <f t="shared" si="9"/>
        <v>0</v>
      </c>
      <c r="H40" s="260">
        <f t="shared" si="10"/>
        <v>0</v>
      </c>
      <c r="I40" s="257" t="s">
        <v>117</v>
      </c>
    </row>
    <row r="41" spans="1:9" ht="21.75" customHeight="1" thickBot="1" x14ac:dyDescent="0.25">
      <c r="A41" s="171" t="s">
        <v>526</v>
      </c>
      <c r="B41" s="49">
        <v>21.52</v>
      </c>
      <c r="C41" s="50">
        <v>20</v>
      </c>
      <c r="D41" s="48">
        <f t="shared" si="12"/>
        <v>430.4</v>
      </c>
      <c r="E41" s="62"/>
      <c r="F41" s="259">
        <f t="shared" si="8"/>
        <v>0</v>
      </c>
      <c r="G41" s="63">
        <f t="shared" si="9"/>
        <v>0</v>
      </c>
      <c r="H41" s="260">
        <f t="shared" si="10"/>
        <v>0</v>
      </c>
      <c r="I41" s="257" t="s">
        <v>427</v>
      </c>
    </row>
    <row r="42" spans="1:9" ht="21.75" customHeight="1" thickBot="1" x14ac:dyDescent="0.25">
      <c r="A42" s="171" t="s">
        <v>519</v>
      </c>
      <c r="B42" s="49">
        <v>6.26</v>
      </c>
      <c r="C42" s="50">
        <v>25</v>
      </c>
      <c r="D42" s="48">
        <f t="shared" si="12"/>
        <v>156.5</v>
      </c>
      <c r="E42" s="62"/>
      <c r="F42" s="259">
        <f t="shared" si="8"/>
        <v>0</v>
      </c>
      <c r="G42" s="63">
        <f t="shared" si="9"/>
        <v>0</v>
      </c>
      <c r="H42" s="260">
        <f t="shared" si="10"/>
        <v>0</v>
      </c>
      <c r="I42" s="257" t="s">
        <v>312</v>
      </c>
    </row>
    <row r="43" spans="1:9" ht="21.75" customHeight="1" thickBot="1" x14ac:dyDescent="0.25">
      <c r="A43" s="171" t="s">
        <v>93</v>
      </c>
      <c r="B43" s="49">
        <v>3.74</v>
      </c>
      <c r="C43" s="50">
        <v>25</v>
      </c>
      <c r="D43" s="48">
        <f t="shared" si="12"/>
        <v>93.5</v>
      </c>
      <c r="E43" s="62"/>
      <c r="F43" s="259">
        <f t="shared" si="8"/>
        <v>0</v>
      </c>
      <c r="G43" s="63">
        <f t="shared" si="9"/>
        <v>0</v>
      </c>
      <c r="H43" s="260">
        <f t="shared" si="10"/>
        <v>0</v>
      </c>
      <c r="I43" s="257" t="s">
        <v>159</v>
      </c>
    </row>
    <row r="44" spans="1:9" ht="21.75" customHeight="1" thickBot="1" x14ac:dyDescent="0.25">
      <c r="A44" s="171" t="s">
        <v>516</v>
      </c>
      <c r="B44" s="49">
        <f>(2.86+3.45)/2</f>
        <v>3.1550000000000002</v>
      </c>
      <c r="C44" s="50">
        <v>25</v>
      </c>
      <c r="D44" s="48">
        <f t="shared" si="12"/>
        <v>78.875</v>
      </c>
      <c r="E44" s="62"/>
      <c r="F44" s="259">
        <f t="shared" si="8"/>
        <v>0</v>
      </c>
      <c r="G44" s="63">
        <f t="shared" si="9"/>
        <v>0</v>
      </c>
      <c r="H44" s="260">
        <f t="shared" si="10"/>
        <v>0</v>
      </c>
      <c r="I44" s="257" t="s">
        <v>159</v>
      </c>
    </row>
    <row r="45" spans="1:9" ht="21.75" customHeight="1" thickBot="1" x14ac:dyDescent="0.25">
      <c r="A45" s="171" t="s">
        <v>39</v>
      </c>
      <c r="B45" s="49">
        <v>16.940000000000001</v>
      </c>
      <c r="C45" s="50">
        <v>12</v>
      </c>
      <c r="D45" s="48">
        <f t="shared" si="12"/>
        <v>203.28000000000003</v>
      </c>
      <c r="E45" s="62"/>
      <c r="F45" s="259">
        <f t="shared" si="8"/>
        <v>0</v>
      </c>
      <c r="G45" s="63">
        <f t="shared" si="9"/>
        <v>0</v>
      </c>
      <c r="H45" s="260">
        <f t="shared" si="10"/>
        <v>0</v>
      </c>
      <c r="I45" s="257" t="s">
        <v>312</v>
      </c>
    </row>
    <row r="46" spans="1:9" ht="21.75" customHeight="1" thickBot="1" x14ac:dyDescent="0.25">
      <c r="A46" s="171" t="s">
        <v>383</v>
      </c>
      <c r="B46" s="49">
        <v>2.5299999999999998</v>
      </c>
      <c r="C46" s="50">
        <v>130</v>
      </c>
      <c r="D46" s="48">
        <f t="shared" si="12"/>
        <v>328.9</v>
      </c>
      <c r="E46" s="62"/>
      <c r="F46" s="259">
        <f t="shared" si="8"/>
        <v>0</v>
      </c>
      <c r="G46" s="63">
        <f t="shared" si="9"/>
        <v>0</v>
      </c>
      <c r="H46" s="260">
        <f t="shared" si="10"/>
        <v>0</v>
      </c>
      <c r="I46" s="257" t="s">
        <v>312</v>
      </c>
    </row>
    <row r="47" spans="1:9" ht="21.75" customHeight="1" thickBot="1" x14ac:dyDescent="0.25">
      <c r="A47" s="171" t="s">
        <v>517</v>
      </c>
      <c r="B47" s="49">
        <f>(2.86+3.53)/2</f>
        <v>3.1949999999999998</v>
      </c>
      <c r="C47" s="50">
        <v>15</v>
      </c>
      <c r="D47" s="48">
        <f t="shared" si="12"/>
        <v>47.924999999999997</v>
      </c>
      <c r="E47" s="62"/>
      <c r="F47" s="259">
        <f t="shared" si="8"/>
        <v>0</v>
      </c>
      <c r="G47" s="63">
        <f t="shared" si="9"/>
        <v>0</v>
      </c>
      <c r="H47" s="260">
        <f t="shared" si="10"/>
        <v>0</v>
      </c>
      <c r="I47" s="257" t="s">
        <v>117</v>
      </c>
    </row>
    <row r="48" spans="1:9" ht="21.75" customHeight="1" thickBot="1" x14ac:dyDescent="0.25">
      <c r="A48" s="171" t="s">
        <v>536</v>
      </c>
      <c r="B48" s="49">
        <f>(3.48+4.02)/2</f>
        <v>3.75</v>
      </c>
      <c r="C48" s="50">
        <v>15</v>
      </c>
      <c r="D48" s="48">
        <f t="shared" si="12"/>
        <v>56.25</v>
      </c>
      <c r="E48" s="62"/>
      <c r="F48" s="259">
        <f t="shared" si="8"/>
        <v>0</v>
      </c>
      <c r="G48" s="63">
        <f t="shared" si="9"/>
        <v>0</v>
      </c>
      <c r="H48" s="260">
        <f t="shared" si="10"/>
        <v>0</v>
      </c>
      <c r="I48" s="257" t="s">
        <v>117</v>
      </c>
    </row>
    <row r="49" spans="1:14" ht="21.75" customHeight="1" thickBot="1" x14ac:dyDescent="0.25">
      <c r="A49" s="171" t="s">
        <v>42</v>
      </c>
      <c r="B49" s="49">
        <f>(2.84+3.11)/2</f>
        <v>2.9749999999999996</v>
      </c>
      <c r="C49" s="50">
        <v>100</v>
      </c>
      <c r="D49" s="48">
        <f t="shared" si="12"/>
        <v>297.49999999999994</v>
      </c>
      <c r="E49" s="62"/>
      <c r="F49" s="259">
        <f t="shared" si="8"/>
        <v>0</v>
      </c>
      <c r="G49" s="63">
        <f t="shared" si="9"/>
        <v>0</v>
      </c>
      <c r="H49" s="260">
        <f t="shared" si="10"/>
        <v>0</v>
      </c>
      <c r="I49" s="257" t="s">
        <v>312</v>
      </c>
    </row>
    <row r="50" spans="1:14" ht="21.75" customHeight="1" thickBot="1" x14ac:dyDescent="0.25">
      <c r="A50" s="171" t="s">
        <v>520</v>
      </c>
      <c r="B50" s="49">
        <v>26.01</v>
      </c>
      <c r="C50" s="50">
        <v>15</v>
      </c>
      <c r="D50" s="48">
        <f t="shared" si="12"/>
        <v>390.15000000000003</v>
      </c>
      <c r="E50" s="62"/>
      <c r="F50" s="259">
        <f t="shared" si="8"/>
        <v>0</v>
      </c>
      <c r="G50" s="63">
        <f t="shared" si="9"/>
        <v>0</v>
      </c>
      <c r="H50" s="260">
        <f t="shared" si="10"/>
        <v>0</v>
      </c>
      <c r="I50" s="257" t="s">
        <v>314</v>
      </c>
    </row>
    <row r="51" spans="1:14" ht="21.75" customHeight="1" thickBot="1" x14ac:dyDescent="0.25">
      <c r="A51" s="171" t="s">
        <v>527</v>
      </c>
      <c r="B51" s="49">
        <v>5.83</v>
      </c>
      <c r="C51" s="50">
        <v>15</v>
      </c>
      <c r="D51" s="48">
        <f t="shared" si="12"/>
        <v>87.45</v>
      </c>
      <c r="E51" s="238"/>
      <c r="F51" s="259">
        <f t="shared" si="8"/>
        <v>0</v>
      </c>
      <c r="G51" s="63">
        <f t="shared" si="9"/>
        <v>0</v>
      </c>
      <c r="H51" s="260">
        <f t="shared" si="10"/>
        <v>0</v>
      </c>
      <c r="I51" s="257" t="s">
        <v>159</v>
      </c>
    </row>
    <row r="52" spans="1:14" ht="21.75" customHeight="1" thickTop="1" thickBot="1" x14ac:dyDescent="0.25">
      <c r="A52" s="124" t="s">
        <v>102</v>
      </c>
      <c r="B52" s="125"/>
      <c r="C52" s="126"/>
      <c r="D52" s="127">
        <f t="shared" ref="D52:D58" si="13">IF(ISERROR(C52*B52),0,C52*B52)</f>
        <v>0</v>
      </c>
      <c r="E52" s="233"/>
      <c r="F52" s="261">
        <f t="shared" ref="F52:F58" si="14">IF(ISERROR(E52*B52),0,(E52*B52))</f>
        <v>0</v>
      </c>
      <c r="G52" s="133">
        <f t="shared" ref="G52:G58" si="15">IF(ISERROR(E52/C52),0,(E52/C52))</f>
        <v>0</v>
      </c>
      <c r="H52" s="262">
        <f t="shared" ref="H52:H58" si="16">IF(ISERROR(ROUND($I$2*E52,1)),0,ROUND($I$2*E52,1))</f>
        <v>0</v>
      </c>
      <c r="I52" s="229"/>
      <c r="J52" s="580" t="s">
        <v>363</v>
      </c>
      <c r="K52" s="581"/>
      <c r="L52" s="198"/>
      <c r="M52" s="173" t="s">
        <v>428</v>
      </c>
      <c r="N52" s="203"/>
    </row>
    <row r="53" spans="1:14" ht="21.75" customHeight="1" thickBot="1" x14ac:dyDescent="0.25">
      <c r="A53" s="128" t="s">
        <v>103</v>
      </c>
      <c r="B53" s="55"/>
      <c r="C53" s="64"/>
      <c r="D53" s="16">
        <f t="shared" si="13"/>
        <v>0</v>
      </c>
      <c r="E53" s="62"/>
      <c r="F53" s="263">
        <f t="shared" si="14"/>
        <v>0</v>
      </c>
      <c r="G53" s="66">
        <f t="shared" si="15"/>
        <v>0</v>
      </c>
      <c r="H53" s="264">
        <f t="shared" si="16"/>
        <v>0</v>
      </c>
      <c r="I53" s="230"/>
      <c r="J53" s="580" t="s">
        <v>363</v>
      </c>
      <c r="K53" s="581"/>
      <c r="L53" s="198"/>
      <c r="M53" s="173" t="s">
        <v>428</v>
      </c>
      <c r="N53" s="203"/>
    </row>
    <row r="54" spans="1:14" ht="21.75" customHeight="1" thickBot="1" x14ac:dyDescent="0.25">
      <c r="A54" s="128" t="s">
        <v>104</v>
      </c>
      <c r="B54" s="55"/>
      <c r="C54" s="64"/>
      <c r="D54" s="16">
        <f t="shared" si="13"/>
        <v>0</v>
      </c>
      <c r="E54" s="62"/>
      <c r="F54" s="263">
        <f t="shared" si="14"/>
        <v>0</v>
      </c>
      <c r="G54" s="66">
        <f t="shared" si="15"/>
        <v>0</v>
      </c>
      <c r="H54" s="264">
        <f t="shared" si="16"/>
        <v>0</v>
      </c>
      <c r="I54" s="230"/>
      <c r="J54" s="580" t="s">
        <v>363</v>
      </c>
      <c r="K54" s="581"/>
      <c r="L54" s="198"/>
      <c r="M54" s="173" t="s">
        <v>428</v>
      </c>
      <c r="N54" s="203"/>
    </row>
    <row r="55" spans="1:14" ht="21.75" customHeight="1" thickBot="1" x14ac:dyDescent="0.25">
      <c r="A55" s="128" t="s">
        <v>105</v>
      </c>
      <c r="B55" s="55"/>
      <c r="C55" s="64"/>
      <c r="D55" s="16">
        <f t="shared" si="13"/>
        <v>0</v>
      </c>
      <c r="E55" s="62"/>
      <c r="F55" s="263">
        <f t="shared" si="14"/>
        <v>0</v>
      </c>
      <c r="G55" s="66">
        <f t="shared" si="15"/>
        <v>0</v>
      </c>
      <c r="H55" s="264">
        <f t="shared" si="16"/>
        <v>0</v>
      </c>
      <c r="I55" s="230"/>
      <c r="J55" s="580" t="s">
        <v>363</v>
      </c>
      <c r="K55" s="581"/>
      <c r="L55" s="198"/>
      <c r="M55" s="173" t="s">
        <v>428</v>
      </c>
      <c r="N55" s="203"/>
    </row>
    <row r="56" spans="1:14" ht="21.75" customHeight="1" thickBot="1" x14ac:dyDescent="0.25">
      <c r="A56" s="128" t="s">
        <v>106</v>
      </c>
      <c r="B56" s="55"/>
      <c r="C56" s="64"/>
      <c r="D56" s="16">
        <f t="shared" si="13"/>
        <v>0</v>
      </c>
      <c r="E56" s="62"/>
      <c r="F56" s="263">
        <f t="shared" si="14"/>
        <v>0</v>
      </c>
      <c r="G56" s="66">
        <f t="shared" si="15"/>
        <v>0</v>
      </c>
      <c r="H56" s="264">
        <f t="shared" si="16"/>
        <v>0</v>
      </c>
      <c r="I56" s="230"/>
      <c r="J56" s="580" t="s">
        <v>363</v>
      </c>
      <c r="K56" s="581"/>
      <c r="L56" s="198"/>
      <c r="M56" s="173" t="s">
        <v>428</v>
      </c>
      <c r="N56" s="203"/>
    </row>
    <row r="57" spans="1:14" ht="21.75" customHeight="1" thickBot="1" x14ac:dyDescent="0.25">
      <c r="A57" s="128" t="s">
        <v>107</v>
      </c>
      <c r="B57" s="55"/>
      <c r="C57" s="64"/>
      <c r="D57" s="16">
        <f t="shared" si="13"/>
        <v>0</v>
      </c>
      <c r="E57" s="62"/>
      <c r="F57" s="263">
        <f t="shared" si="14"/>
        <v>0</v>
      </c>
      <c r="G57" s="66">
        <f t="shared" si="15"/>
        <v>0</v>
      </c>
      <c r="H57" s="264">
        <f t="shared" si="16"/>
        <v>0</v>
      </c>
      <c r="I57" s="230"/>
      <c r="J57" s="580" t="s">
        <v>363</v>
      </c>
      <c r="K57" s="581"/>
      <c r="L57" s="198"/>
      <c r="M57" s="173" t="s">
        <v>428</v>
      </c>
      <c r="N57" s="203"/>
    </row>
    <row r="58" spans="1:14" ht="21.75" customHeight="1" thickBot="1" x14ac:dyDescent="0.25">
      <c r="A58" s="129" t="s">
        <v>108</v>
      </c>
      <c r="B58" s="134"/>
      <c r="C58" s="135"/>
      <c r="D58" s="136">
        <f t="shared" si="13"/>
        <v>0</v>
      </c>
      <c r="E58" s="132"/>
      <c r="F58" s="265">
        <f t="shared" si="14"/>
        <v>0</v>
      </c>
      <c r="G58" s="137">
        <f t="shared" si="15"/>
        <v>0</v>
      </c>
      <c r="H58" s="266">
        <f t="shared" si="16"/>
        <v>0</v>
      </c>
      <c r="I58" s="231"/>
      <c r="J58" s="580" t="s">
        <v>363</v>
      </c>
      <c r="K58" s="581"/>
      <c r="L58" s="198"/>
      <c r="M58" s="173" t="s">
        <v>428</v>
      </c>
      <c r="N58" s="203"/>
    </row>
    <row r="59" spans="1:14" ht="21.75" customHeight="1" thickTop="1" x14ac:dyDescent="0.25"/>
    <row r="60" spans="1:14" ht="14.25" x14ac:dyDescent="0.2">
      <c r="B60"/>
    </row>
    <row r="61" spans="1:14" ht="14.25" x14ac:dyDescent="0.2">
      <c r="B61"/>
    </row>
    <row r="62" spans="1:14" ht="14.25" x14ac:dyDescent="0.2">
      <c r="B62"/>
    </row>
    <row r="63" spans="1:14" ht="14.25" x14ac:dyDescent="0.2">
      <c r="B63"/>
    </row>
    <row r="64" spans="1:14" x14ac:dyDescent="0.2">
      <c r="B64"/>
      <c r="E64" s="162"/>
      <c r="F64" s="26"/>
      <c r="G64" s="195"/>
    </row>
    <row r="65" spans="2:7" x14ac:dyDescent="0.2">
      <c r="B65"/>
      <c r="E65" s="162"/>
      <c r="F65" s="26"/>
      <c r="G65" s="195"/>
    </row>
    <row r="66" spans="2:7" x14ac:dyDescent="0.2">
      <c r="B66"/>
      <c r="E66" s="162"/>
      <c r="F66" s="26"/>
      <c r="G66" s="195"/>
    </row>
    <row r="67" spans="2:7" x14ac:dyDescent="0.2">
      <c r="B67"/>
      <c r="E67" s="162"/>
      <c r="F67" s="26"/>
      <c r="G67" s="195"/>
    </row>
    <row r="68" spans="2:7" ht="14.25" x14ac:dyDescent="0.2">
      <c r="B68"/>
    </row>
    <row r="69" spans="2:7" ht="14.25" x14ac:dyDescent="0.2">
      <c r="B69"/>
    </row>
    <row r="70" spans="2:7" ht="14.25" x14ac:dyDescent="0.2">
      <c r="B70"/>
    </row>
    <row r="71" spans="2:7" ht="14.25" x14ac:dyDescent="0.2">
      <c r="B71"/>
    </row>
    <row r="72" spans="2:7" ht="14.25" x14ac:dyDescent="0.2">
      <c r="B72"/>
    </row>
    <row r="73" spans="2:7" ht="14.25" x14ac:dyDescent="0.2">
      <c r="B73"/>
    </row>
    <row r="74" spans="2:7" ht="14.25" x14ac:dyDescent="0.2">
      <c r="B74"/>
    </row>
    <row r="75" spans="2:7" ht="14.25" x14ac:dyDescent="0.2">
      <c r="B75"/>
    </row>
    <row r="76" spans="2:7" ht="14.25" x14ac:dyDescent="0.2">
      <c r="B76"/>
    </row>
    <row r="77" spans="2:7" ht="14.25" x14ac:dyDescent="0.2">
      <c r="B77"/>
    </row>
    <row r="78" spans="2:7" ht="14.25" x14ac:dyDescent="0.2">
      <c r="B78"/>
    </row>
    <row r="79" spans="2:7" ht="14.25" x14ac:dyDescent="0.2">
      <c r="B79"/>
    </row>
    <row r="80" spans="2:7" ht="14.25" x14ac:dyDescent="0.2">
      <c r="B80"/>
    </row>
    <row r="81" spans="2:2" ht="14.25" x14ac:dyDescent="0.2">
      <c r="B81"/>
    </row>
    <row r="82" spans="2:2" ht="14.25" x14ac:dyDescent="0.2">
      <c r="B82"/>
    </row>
    <row r="83" spans="2:2" ht="14.25" x14ac:dyDescent="0.2">
      <c r="B83"/>
    </row>
    <row r="84" spans="2:2" ht="14.25" x14ac:dyDescent="0.2">
      <c r="B84"/>
    </row>
    <row r="85" spans="2:2" ht="14.25" x14ac:dyDescent="0.2">
      <c r="B85"/>
    </row>
    <row r="86" spans="2:2" ht="14.25" x14ac:dyDescent="0.2">
      <c r="B86"/>
    </row>
    <row r="87" spans="2:2" ht="14.25" x14ac:dyDescent="0.2">
      <c r="B87"/>
    </row>
    <row r="88" spans="2:2" ht="14.25" x14ac:dyDescent="0.2">
      <c r="B88"/>
    </row>
    <row r="89" spans="2:2" ht="14.25" x14ac:dyDescent="0.2">
      <c r="B89"/>
    </row>
    <row r="90" spans="2:2" ht="14.25" x14ac:dyDescent="0.2">
      <c r="B90"/>
    </row>
    <row r="91" spans="2:2" ht="14.25" x14ac:dyDescent="0.2">
      <c r="B91"/>
    </row>
    <row r="92" spans="2:2" ht="14.25" x14ac:dyDescent="0.2">
      <c r="B92"/>
    </row>
    <row r="93" spans="2:2" ht="14.25" x14ac:dyDescent="0.2">
      <c r="B93"/>
    </row>
    <row r="94" spans="2:2" ht="14.25" x14ac:dyDescent="0.2">
      <c r="B94"/>
    </row>
    <row r="95" spans="2:2" ht="14.25" x14ac:dyDescent="0.2">
      <c r="B95"/>
    </row>
    <row r="96" spans="2:2" ht="14.25" x14ac:dyDescent="0.2">
      <c r="B96"/>
    </row>
    <row r="97" spans="2:2" ht="14.25" x14ac:dyDescent="0.2">
      <c r="B97"/>
    </row>
    <row r="98" spans="2:2" ht="14.25" x14ac:dyDescent="0.2">
      <c r="B98"/>
    </row>
    <row r="99" spans="2:2" ht="14.25" x14ac:dyDescent="0.2">
      <c r="B99"/>
    </row>
    <row r="100" spans="2:2" ht="14.25" x14ac:dyDescent="0.2">
      <c r="B100"/>
    </row>
    <row r="101" spans="2:2" ht="14.25" x14ac:dyDescent="0.2">
      <c r="B101"/>
    </row>
    <row r="102" spans="2:2" ht="14.25" x14ac:dyDescent="0.2">
      <c r="B102"/>
    </row>
    <row r="103" spans="2:2" ht="14.25" x14ac:dyDescent="0.2">
      <c r="B103"/>
    </row>
    <row r="104" spans="2:2" ht="14.25" x14ac:dyDescent="0.2">
      <c r="B104"/>
    </row>
    <row r="105" spans="2:2" ht="14.25" x14ac:dyDescent="0.2">
      <c r="B105"/>
    </row>
    <row r="106" spans="2:2" ht="14.25" x14ac:dyDescent="0.2">
      <c r="B106"/>
    </row>
    <row r="107" spans="2:2" ht="14.25" x14ac:dyDescent="0.2">
      <c r="B107"/>
    </row>
    <row r="108" spans="2:2" ht="14.25" x14ac:dyDescent="0.2">
      <c r="B108"/>
    </row>
    <row r="109" spans="2:2" ht="14.25" x14ac:dyDescent="0.2">
      <c r="B109"/>
    </row>
    <row r="110" spans="2:2" ht="14.25" x14ac:dyDescent="0.2">
      <c r="B110"/>
    </row>
    <row r="111" spans="2:2" ht="14.25" x14ac:dyDescent="0.2">
      <c r="B111"/>
    </row>
    <row r="112" spans="2:2" ht="14.25" x14ac:dyDescent="0.2">
      <c r="B112"/>
    </row>
    <row r="113" spans="2:2" ht="14.25" x14ac:dyDescent="0.2">
      <c r="B113"/>
    </row>
    <row r="114" spans="2:2" ht="14.25" x14ac:dyDescent="0.2">
      <c r="B114"/>
    </row>
    <row r="115" spans="2:2" ht="14.25" x14ac:dyDescent="0.2">
      <c r="B115"/>
    </row>
    <row r="116" spans="2:2" ht="14.25" x14ac:dyDescent="0.2">
      <c r="B116"/>
    </row>
    <row r="117" spans="2:2" ht="14.25" x14ac:dyDescent="0.2">
      <c r="B117"/>
    </row>
    <row r="118" spans="2:2" ht="14.25" x14ac:dyDescent="0.2">
      <c r="B118"/>
    </row>
    <row r="119" spans="2:2" ht="14.25" x14ac:dyDescent="0.2">
      <c r="B119"/>
    </row>
    <row r="120" spans="2:2" ht="14.25" x14ac:dyDescent="0.2">
      <c r="B120"/>
    </row>
    <row r="121" spans="2:2" ht="14.25" x14ac:dyDescent="0.2">
      <c r="B121"/>
    </row>
    <row r="122" spans="2:2" ht="14.25" x14ac:dyDescent="0.2">
      <c r="B122"/>
    </row>
    <row r="123" spans="2:2" ht="14.25" x14ac:dyDescent="0.2">
      <c r="B123"/>
    </row>
    <row r="124" spans="2:2" ht="14.25" x14ac:dyDescent="0.2">
      <c r="B124"/>
    </row>
    <row r="125" spans="2:2" ht="14.25" x14ac:dyDescent="0.2">
      <c r="B125"/>
    </row>
    <row r="126" spans="2:2" ht="14.25" x14ac:dyDescent="0.2">
      <c r="B126"/>
    </row>
    <row r="127" spans="2:2" ht="14.25" x14ac:dyDescent="0.2">
      <c r="B127"/>
    </row>
    <row r="128" spans="2:2" ht="14.25" x14ac:dyDescent="0.2">
      <c r="B128"/>
    </row>
    <row r="129" spans="2:2" ht="14.25" x14ac:dyDescent="0.2">
      <c r="B129"/>
    </row>
    <row r="130" spans="2:2" ht="14.25" x14ac:dyDescent="0.2">
      <c r="B130"/>
    </row>
    <row r="131" spans="2:2" ht="14.25" x14ac:dyDescent="0.2">
      <c r="B131"/>
    </row>
    <row r="132" spans="2:2" ht="14.25" x14ac:dyDescent="0.2">
      <c r="B132"/>
    </row>
    <row r="133" spans="2:2" ht="14.25" x14ac:dyDescent="0.2">
      <c r="B133"/>
    </row>
    <row r="134" spans="2:2" ht="14.25" x14ac:dyDescent="0.2">
      <c r="B134"/>
    </row>
    <row r="135" spans="2:2" ht="14.25" x14ac:dyDescent="0.2">
      <c r="B135"/>
    </row>
    <row r="136" spans="2:2" ht="14.25" x14ac:dyDescent="0.2">
      <c r="B136"/>
    </row>
    <row r="137" spans="2:2" ht="14.25" x14ac:dyDescent="0.2">
      <c r="B137"/>
    </row>
    <row r="138" spans="2:2" ht="14.25" x14ac:dyDescent="0.2">
      <c r="B138"/>
    </row>
    <row r="139" spans="2:2" ht="14.25" x14ac:dyDescent="0.2">
      <c r="B139"/>
    </row>
    <row r="140" spans="2:2" ht="14.25" x14ac:dyDescent="0.2">
      <c r="B140"/>
    </row>
    <row r="141" spans="2:2" ht="14.25" x14ac:dyDescent="0.2">
      <c r="B141"/>
    </row>
    <row r="142" spans="2:2" ht="14.25" x14ac:dyDescent="0.2">
      <c r="B142"/>
    </row>
    <row r="143" spans="2:2" ht="14.25" x14ac:dyDescent="0.2">
      <c r="B143"/>
    </row>
    <row r="144" spans="2:2" ht="14.25" x14ac:dyDescent="0.2">
      <c r="B144"/>
    </row>
    <row r="145" spans="2:2" ht="14.25" x14ac:dyDescent="0.2">
      <c r="B145"/>
    </row>
    <row r="146" spans="2:2" ht="14.25" x14ac:dyDescent="0.2">
      <c r="B146"/>
    </row>
    <row r="147" spans="2:2" ht="14.25" x14ac:dyDescent="0.2">
      <c r="B147"/>
    </row>
    <row r="148" spans="2:2" ht="14.25" x14ac:dyDescent="0.2">
      <c r="B148"/>
    </row>
    <row r="149" spans="2:2" ht="14.25" x14ac:dyDescent="0.2">
      <c r="B149"/>
    </row>
    <row r="150" spans="2:2" ht="14.25" x14ac:dyDescent="0.2">
      <c r="B150"/>
    </row>
    <row r="151" spans="2:2" ht="14.25" x14ac:dyDescent="0.2">
      <c r="B151"/>
    </row>
    <row r="152" spans="2:2" ht="14.25" x14ac:dyDescent="0.2">
      <c r="B152"/>
    </row>
    <row r="153" spans="2:2" ht="14.25" x14ac:dyDescent="0.2">
      <c r="B153"/>
    </row>
    <row r="154" spans="2:2" ht="14.25" x14ac:dyDescent="0.2">
      <c r="B154"/>
    </row>
    <row r="155" spans="2:2" ht="14.25" x14ac:dyDescent="0.2">
      <c r="B155"/>
    </row>
    <row r="156" spans="2:2" ht="14.25" x14ac:dyDescent="0.2">
      <c r="B156"/>
    </row>
    <row r="157" spans="2:2" ht="14.25" x14ac:dyDescent="0.2">
      <c r="B157"/>
    </row>
    <row r="158" spans="2:2" ht="14.25" x14ac:dyDescent="0.2">
      <c r="B158"/>
    </row>
    <row r="159" spans="2:2" ht="14.25" x14ac:dyDescent="0.2">
      <c r="B159"/>
    </row>
    <row r="160" spans="2:2" ht="14.25" x14ac:dyDescent="0.2">
      <c r="B160"/>
    </row>
    <row r="161" spans="2:2" ht="14.25" x14ac:dyDescent="0.2">
      <c r="B161"/>
    </row>
    <row r="162" spans="2:2" ht="14.25" x14ac:dyDescent="0.2">
      <c r="B162"/>
    </row>
    <row r="163" spans="2:2" ht="14.25" x14ac:dyDescent="0.2">
      <c r="B163"/>
    </row>
    <row r="164" spans="2:2" ht="14.25" x14ac:dyDescent="0.2">
      <c r="B164"/>
    </row>
    <row r="165" spans="2:2" ht="14.25" x14ac:dyDescent="0.2">
      <c r="B165"/>
    </row>
    <row r="166" spans="2:2" ht="14.25" x14ac:dyDescent="0.2">
      <c r="B166"/>
    </row>
    <row r="167" spans="2:2" ht="14.25" x14ac:dyDescent="0.2">
      <c r="B167"/>
    </row>
    <row r="168" spans="2:2" ht="14.25" x14ac:dyDescent="0.2">
      <c r="B168"/>
    </row>
    <row r="169" spans="2:2" ht="14.25" x14ac:dyDescent="0.2">
      <c r="B169"/>
    </row>
    <row r="170" spans="2:2" ht="14.25" x14ac:dyDescent="0.2">
      <c r="B170"/>
    </row>
    <row r="171" spans="2:2" ht="14.25" x14ac:dyDescent="0.2">
      <c r="B171"/>
    </row>
    <row r="172" spans="2:2" ht="14.25" x14ac:dyDescent="0.2">
      <c r="B172"/>
    </row>
    <row r="173" spans="2:2" ht="14.25" x14ac:dyDescent="0.2">
      <c r="B173"/>
    </row>
    <row r="174" spans="2:2" ht="14.25" x14ac:dyDescent="0.2">
      <c r="B174"/>
    </row>
    <row r="175" spans="2:2" ht="14.25" x14ac:dyDescent="0.2">
      <c r="B175"/>
    </row>
    <row r="176" spans="2:2" ht="14.25" x14ac:dyDescent="0.2">
      <c r="B176"/>
    </row>
    <row r="177" spans="2:2" ht="14.25" x14ac:dyDescent="0.2">
      <c r="B177"/>
    </row>
    <row r="178" spans="2:2" ht="14.25" x14ac:dyDescent="0.2">
      <c r="B178"/>
    </row>
    <row r="179" spans="2:2" ht="14.25" x14ac:dyDescent="0.2">
      <c r="B179"/>
    </row>
    <row r="180" spans="2:2" ht="14.25" x14ac:dyDescent="0.2">
      <c r="B180"/>
    </row>
    <row r="181" spans="2:2" ht="14.25" x14ac:dyDescent="0.2">
      <c r="B181"/>
    </row>
    <row r="182" spans="2:2" ht="14.25" x14ac:dyDescent="0.2">
      <c r="B182"/>
    </row>
    <row r="183" spans="2:2" ht="14.25" x14ac:dyDescent="0.2">
      <c r="B183"/>
    </row>
    <row r="184" spans="2:2" ht="14.25" x14ac:dyDescent="0.2">
      <c r="B184"/>
    </row>
    <row r="185" spans="2:2" ht="14.25" x14ac:dyDescent="0.2">
      <c r="B185"/>
    </row>
    <row r="186" spans="2:2" ht="14.25" x14ac:dyDescent="0.2">
      <c r="B186"/>
    </row>
    <row r="187" spans="2:2" ht="14.25" x14ac:dyDescent="0.2">
      <c r="B187"/>
    </row>
    <row r="188" spans="2:2" ht="14.25" x14ac:dyDescent="0.2">
      <c r="B188"/>
    </row>
    <row r="189" spans="2:2" ht="14.25" x14ac:dyDescent="0.2">
      <c r="B189"/>
    </row>
    <row r="190" spans="2:2" ht="14.25" x14ac:dyDescent="0.2">
      <c r="B190"/>
    </row>
    <row r="191" spans="2:2" ht="14.25" x14ac:dyDescent="0.2">
      <c r="B191"/>
    </row>
    <row r="192" spans="2:2" ht="14.25" x14ac:dyDescent="0.2">
      <c r="B192"/>
    </row>
    <row r="193" spans="2:2" ht="14.25" x14ac:dyDescent="0.2">
      <c r="B193"/>
    </row>
    <row r="194" spans="2:2" ht="14.25" x14ac:dyDescent="0.2">
      <c r="B194"/>
    </row>
    <row r="195" spans="2:2" ht="14.25" x14ac:dyDescent="0.2">
      <c r="B195"/>
    </row>
    <row r="196" spans="2:2" ht="14.25" x14ac:dyDescent="0.2">
      <c r="B196"/>
    </row>
    <row r="197" spans="2:2" ht="14.25" x14ac:dyDescent="0.2">
      <c r="B197"/>
    </row>
    <row r="198" spans="2:2" ht="14.25" x14ac:dyDescent="0.2">
      <c r="B198"/>
    </row>
    <row r="199" spans="2:2" ht="14.25" x14ac:dyDescent="0.2">
      <c r="B199"/>
    </row>
    <row r="200" spans="2:2" ht="14.25" x14ac:dyDescent="0.2">
      <c r="B200"/>
    </row>
    <row r="201" spans="2:2" ht="14.25" x14ac:dyDescent="0.2">
      <c r="B201"/>
    </row>
    <row r="202" spans="2:2" ht="14.25" x14ac:dyDescent="0.2">
      <c r="B202"/>
    </row>
    <row r="203" spans="2:2" ht="14.25" x14ac:dyDescent="0.2">
      <c r="B203"/>
    </row>
    <row r="204" spans="2:2" ht="14.25" x14ac:dyDescent="0.2">
      <c r="B204"/>
    </row>
    <row r="205" spans="2:2" ht="14.25" x14ac:dyDescent="0.2">
      <c r="B205"/>
    </row>
    <row r="206" spans="2:2" ht="14.25" x14ac:dyDescent="0.2">
      <c r="B206"/>
    </row>
    <row r="207" spans="2:2" ht="14.25" x14ac:dyDescent="0.2">
      <c r="B207"/>
    </row>
    <row r="208" spans="2:2" ht="14.25" x14ac:dyDescent="0.2">
      <c r="B208"/>
    </row>
    <row r="209" spans="2:2" ht="14.25" x14ac:dyDescent="0.2">
      <c r="B209"/>
    </row>
    <row r="210" spans="2:2" ht="14.25" x14ac:dyDescent="0.2">
      <c r="B210"/>
    </row>
    <row r="211" spans="2:2" ht="14.25" x14ac:dyDescent="0.2">
      <c r="B211"/>
    </row>
    <row r="212" spans="2:2" ht="14.25" x14ac:dyDescent="0.2">
      <c r="B212"/>
    </row>
    <row r="213" spans="2:2" ht="14.25" x14ac:dyDescent="0.2">
      <c r="B213"/>
    </row>
    <row r="214" spans="2:2" ht="14.25" x14ac:dyDescent="0.2">
      <c r="B214"/>
    </row>
    <row r="215" spans="2:2" ht="14.25" x14ac:dyDescent="0.2">
      <c r="B215"/>
    </row>
    <row r="216" spans="2:2" ht="14.25" x14ac:dyDescent="0.2">
      <c r="B216"/>
    </row>
    <row r="217" spans="2:2" ht="14.25" x14ac:dyDescent="0.2">
      <c r="B217"/>
    </row>
    <row r="218" spans="2:2" ht="14.25" x14ac:dyDescent="0.2">
      <c r="B218"/>
    </row>
    <row r="219" spans="2:2" ht="14.25" x14ac:dyDescent="0.2">
      <c r="B219"/>
    </row>
    <row r="220" spans="2:2" ht="14.25" x14ac:dyDescent="0.2">
      <c r="B220"/>
    </row>
  </sheetData>
  <sheetProtection algorithmName="SHA-512" hashValue="cA1z1GtXvmGC8Y4OMasSxaEklr/RE2bPEys//yeI8gZlOHnJRddTt2wjqxK6D+rQH/iUb5ncClgRuIh2YZu+dg==" saltValue="/yGgUWAgUq5VRM37auAdIg==" spinCount="100000" sheet="1" objects="1" scenarios="1"/>
  <mergeCells count="21">
    <mergeCell ref="J52:K52"/>
    <mergeCell ref="J10:K11"/>
    <mergeCell ref="L10:L11"/>
    <mergeCell ref="J12:L13"/>
    <mergeCell ref="J3:K3"/>
    <mergeCell ref="J8:K9"/>
    <mergeCell ref="L8:L9"/>
    <mergeCell ref="J14:L18"/>
    <mergeCell ref="J19:L20"/>
    <mergeCell ref="J58:K58"/>
    <mergeCell ref="J53:K53"/>
    <mergeCell ref="J54:K54"/>
    <mergeCell ref="J55:K55"/>
    <mergeCell ref="J56:K56"/>
    <mergeCell ref="J57:K57"/>
    <mergeCell ref="E1:H1"/>
    <mergeCell ref="M3:N3"/>
    <mergeCell ref="J4:L5"/>
    <mergeCell ref="J6:K7"/>
    <mergeCell ref="L6:L7"/>
    <mergeCell ref="M1:N2"/>
  </mergeCells>
  <conditionalFormatting sqref="E2:E3">
    <cfRule type="expression" dxfId="18" priority="36">
      <formula>SUM($E$4:$E$58)=0</formula>
    </cfRule>
  </conditionalFormatting>
  <conditionalFormatting sqref="I1:I2">
    <cfRule type="expression" dxfId="17" priority="17">
      <formula>OR($I$2="",$I$2=0)</formula>
    </cfRule>
  </conditionalFormatting>
  <conditionalFormatting sqref="I52:I58">
    <cfRule type="expression" dxfId="16" priority="3">
      <formula>AND($E52&gt;0,$I52="")</formula>
    </cfRule>
    <cfRule type="expression" dxfId="15" priority="14">
      <formula>$I52&lt;&gt;""</formula>
    </cfRule>
  </conditionalFormatting>
  <conditionalFormatting sqref="J6">
    <cfRule type="expression" dxfId="14" priority="11">
      <formula>$L$6=""</formula>
    </cfRule>
  </conditionalFormatting>
  <conditionalFormatting sqref="J3:K3">
    <cfRule type="expression" dxfId="13" priority="5">
      <formula>$L$3="0 %"</formula>
    </cfRule>
    <cfRule type="expression" dxfId="12" priority="6">
      <formula>AND($L$3&gt;0.6,$L$3&lt;&gt;"0 %",$J$2&gt;0)</formula>
    </cfRule>
  </conditionalFormatting>
  <conditionalFormatting sqref="J4:L5">
    <cfRule type="expression" dxfId="11" priority="4">
      <formula>$L$6=""</formula>
    </cfRule>
  </conditionalFormatting>
  <conditionalFormatting sqref="L3">
    <cfRule type="expression" dxfId="10" priority="7">
      <formula>AND($L$3&gt;0.6,$L$3&lt;&gt;"0 %",$J$2&gt;0)</formula>
    </cfRule>
  </conditionalFormatting>
  <conditionalFormatting sqref="L6">
    <cfRule type="expression" dxfId="9" priority="12">
      <formula>$L$6=""</formula>
    </cfRule>
  </conditionalFormatting>
  <conditionalFormatting sqref="L52:L58">
    <cfRule type="expression" dxfId="8" priority="15">
      <formula>AND($J52="insektenblütig JA / NEIN:",$L52&lt;&gt;"")</formula>
    </cfRule>
  </conditionalFormatting>
  <conditionalFormatting sqref="M3:N3">
    <cfRule type="expression" dxfId="7" priority="8">
      <formula>AND($L$3&gt;0.6,$L$3&lt;&gt;"0 %",$J$2&gt;0)</formula>
    </cfRule>
  </conditionalFormatting>
  <conditionalFormatting sqref="N52:N58">
    <cfRule type="expression" dxfId="6" priority="13">
      <formula>$N52&lt;&gt;""</formula>
    </cfRule>
  </conditionalFormatting>
  <hyperlinks>
    <hyperlink ref="M1:N2" location="'Zusammenfassung BIO'!A1" display="'Zusammenfassung BIO'!A1" xr:uid="{00000000-0004-0000-0400-000000000000}"/>
    <hyperlink ref="J19" r:id="rId1" location="c18154" xr:uid="{B450E402-6021-473E-8167-C9EBCC5AEF53}"/>
  </hyperlinks>
  <pageMargins left="0.7" right="0.7" top="0.78740157499999996" bottom="0.78740157499999996" header="0.3" footer="0.3"/>
  <pageSetup paperSize="9" scale="33" fitToHeight="3" orientation="portrait"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400-000001000000}">
          <x14:formula1>
            <xm:f>'BIO (2)'!$AH$3:$AH$5</xm:f>
          </x14:formula1>
          <xm:sqref>L52:L58</xm:sqref>
        </x14:dataValidation>
        <x14:dataValidation type="list" allowBlank="1" showInputMessage="1" showErrorMessage="1" xr:uid="{00000000-0002-0000-0400-000002000000}">
          <x14:formula1>
            <xm:f>'BIO (2)'!$AI$3:$AI$9</xm:f>
          </x14:formula1>
          <xm:sqref>N52:N58</xm:sqref>
        </x14:dataValidation>
        <x14:dataValidation type="list" allowBlank="1" showInputMessage="1" showErrorMessage="1" errorTitle="nur Vorauswahl möglich" error="nur vorgegebene Dünger auswählbar" xr:uid="{00000000-0002-0000-0400-000003000000}">
          <x14:formula1>
            <xm:f>'BIO (2)'!$AJ$3:$AJ$10</xm:f>
          </x14:formula1>
          <xm:sqref>L6</xm:sqref>
        </x14:dataValidation>
        <x14:dataValidation type="list" allowBlank="1" showInputMessage="1" showErrorMessage="1" xr:uid="{C8571FE3-A9DC-46CC-97F6-7C504FAC50C7}">
          <x14:formula1>
            <xm:f>'BIO (2)'!$AG$3:$AG$15</xm:f>
          </x14:formula1>
          <xm:sqref>I52:I58</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39997558519241921"/>
    <pageSetUpPr fitToPage="1"/>
  </sheetPr>
  <dimension ref="A1:AM263"/>
  <sheetViews>
    <sheetView showZeros="0" zoomScale="80" zoomScaleNormal="80" zoomScaleSheetLayoutView="100" workbookViewId="0">
      <pane xSplit="1" topLeftCell="B1" activePane="topRight" state="frozen"/>
      <selection pane="topRight" activeCell="K4" sqref="K4:L4"/>
    </sheetView>
  </sheetViews>
  <sheetFormatPr baseColWidth="10" defaultRowHeight="15" x14ac:dyDescent="0.25"/>
  <cols>
    <col min="1" max="1" width="45.125" customWidth="1"/>
    <col min="2" max="2" width="27.875" style="35" customWidth="1"/>
    <col min="3" max="3" width="20.875" customWidth="1"/>
    <col min="4" max="4" width="20.125" customWidth="1"/>
    <col min="5" max="5" width="14.625" customWidth="1"/>
    <col min="7" max="7" width="14.25" customWidth="1"/>
    <col min="9" max="9" width="21.25" customWidth="1"/>
    <col min="10" max="11" width="13.375" customWidth="1"/>
    <col min="12" max="12" width="15.125" customWidth="1"/>
    <col min="13" max="13" width="16" customWidth="1"/>
    <col min="14" max="16" width="17.375" customWidth="1"/>
    <col min="17" max="17" width="16.5" customWidth="1"/>
    <col min="18" max="18" width="20.25" customWidth="1"/>
    <col min="19" max="21" width="16.5" customWidth="1"/>
    <col min="22" max="22" width="19.375" customWidth="1"/>
    <col min="26" max="26" width="16.375" bestFit="1" customWidth="1"/>
    <col min="33" max="33" width="20.5" bestFit="1" customWidth="1"/>
    <col min="35" max="35" width="18.25" bestFit="1" customWidth="1"/>
    <col min="36" max="36" width="19" bestFit="1" customWidth="1"/>
    <col min="38" max="38" width="15.5" bestFit="1" customWidth="1"/>
  </cols>
  <sheetData>
    <row r="1" spans="1:39" ht="143.25" customHeight="1" thickBot="1" x14ac:dyDescent="0.25">
      <c r="A1" s="52" t="s">
        <v>647</v>
      </c>
      <c r="B1" s="1" t="s">
        <v>480</v>
      </c>
      <c r="C1" s="2" t="s">
        <v>109</v>
      </c>
      <c r="D1" s="3"/>
      <c r="E1" s="431" t="s">
        <v>0</v>
      </c>
      <c r="F1" s="432"/>
      <c r="G1" s="432"/>
      <c r="H1" s="432"/>
      <c r="I1" s="57" t="str">
        <f>IF($I$2="","bitte geben Sie HIER die
Begrünungsfläche  in ha an","Fläche in ha")</f>
        <v>Fläche in ha</v>
      </c>
      <c r="J1" s="4" t="s">
        <v>281</v>
      </c>
      <c r="K1" s="4" t="s">
        <v>1</v>
      </c>
      <c r="L1" s="5" t="s">
        <v>282</v>
      </c>
      <c r="M1" s="6"/>
    </row>
    <row r="2" spans="1:39" ht="46.5" customHeight="1" thickBot="1" x14ac:dyDescent="0.25">
      <c r="B2" s="7" t="s">
        <v>2</v>
      </c>
      <c r="C2" s="7" t="s">
        <v>3</v>
      </c>
      <c r="D2" s="177" t="s">
        <v>4</v>
      </c>
      <c r="E2" s="216" t="s">
        <v>5</v>
      </c>
      <c r="F2" s="9" t="s">
        <v>1</v>
      </c>
      <c r="G2" s="7" t="s">
        <v>285</v>
      </c>
      <c r="H2" s="10" t="s">
        <v>6</v>
      </c>
      <c r="I2" s="51">
        <f>'Begr.-Rechner BIO'!I2</f>
        <v>0</v>
      </c>
      <c r="J2" s="11">
        <f>SUM(E3:E57)</f>
        <v>0</v>
      </c>
      <c r="K2" s="12">
        <f>SUM(F3:F57)</f>
        <v>0</v>
      </c>
      <c r="L2" s="13">
        <f>SUM(G3:G57)</f>
        <v>0</v>
      </c>
      <c r="M2" s="167" t="s">
        <v>332</v>
      </c>
      <c r="N2" s="164" t="s">
        <v>327</v>
      </c>
      <c r="O2" s="350" t="s">
        <v>753</v>
      </c>
      <c r="P2" s="350" t="s">
        <v>754</v>
      </c>
      <c r="Q2" s="153" t="s">
        <v>331</v>
      </c>
      <c r="R2" s="153" t="s">
        <v>745</v>
      </c>
      <c r="S2" s="153" t="s">
        <v>750</v>
      </c>
      <c r="T2" s="345" t="s">
        <v>748</v>
      </c>
      <c r="U2" s="153" t="s">
        <v>364</v>
      </c>
      <c r="V2" s="345" t="s">
        <v>755</v>
      </c>
      <c r="W2" s="164" t="s">
        <v>329</v>
      </c>
      <c r="X2" s="164" t="s">
        <v>335</v>
      </c>
      <c r="Y2" s="164" t="s">
        <v>318</v>
      </c>
      <c r="Z2" s="164" t="s">
        <v>317</v>
      </c>
      <c r="AA2" s="164" t="s">
        <v>334</v>
      </c>
      <c r="AB2" t="s">
        <v>321</v>
      </c>
      <c r="AC2" s="158" t="s">
        <v>322</v>
      </c>
      <c r="AD2" s="158" t="s">
        <v>435</v>
      </c>
      <c r="AE2" s="164" t="s">
        <v>330</v>
      </c>
      <c r="AG2" s="172" t="s">
        <v>358</v>
      </c>
      <c r="AH2" s="187" t="s">
        <v>360</v>
      </c>
      <c r="AI2" s="187" t="s">
        <v>430</v>
      </c>
      <c r="AJ2" t="s">
        <v>461</v>
      </c>
      <c r="AK2" t="s">
        <v>466</v>
      </c>
      <c r="AL2" t="s">
        <v>467</v>
      </c>
      <c r="AM2" t="s">
        <v>541</v>
      </c>
    </row>
    <row r="3" spans="1:39" ht="21.75" customHeight="1" thickBot="1" x14ac:dyDescent="0.25">
      <c r="A3" s="171" t="s">
        <v>655</v>
      </c>
      <c r="B3" s="55">
        <f>'Begr.-Rechner BIO'!$B4</f>
        <v>4.6899999999999995</v>
      </c>
      <c r="C3" s="64">
        <f>'Begr.-Rechner BIO'!C4</f>
        <v>25</v>
      </c>
      <c r="D3" s="16">
        <f t="shared" ref="D3" si="0">IF(ISERROR(C3*B3),0,C3*B3)</f>
        <v>117.24999999999999</v>
      </c>
      <c r="E3" s="141">
        <f>'Begr.-Rechner BIO'!E4</f>
        <v>0</v>
      </c>
      <c r="F3" s="65">
        <f>IF(ISERROR(E3*B3),0,(E3*B3))</f>
        <v>0</v>
      </c>
      <c r="G3" s="66">
        <f t="shared" ref="G3" si="1">IF(ISERROR(E3/C3),0,(E3/C3))</f>
        <v>0</v>
      </c>
      <c r="H3" s="61">
        <f t="shared" ref="H3" si="2">IF(ISERROR($I$2*E3),0,($I$2*E3))</f>
        <v>0</v>
      </c>
      <c r="I3" t="str">
        <f>VLOOKUP(A3,'Begr.-Rechner BIO'!$A$4:$I$58,9,0)</f>
        <v>Leguminose</v>
      </c>
      <c r="K3" s="468" t="s">
        <v>460</v>
      </c>
      <c r="L3" s="470"/>
      <c r="M3" t="s">
        <v>224</v>
      </c>
      <c r="N3" t="s">
        <v>333</v>
      </c>
      <c r="O3" t="str">
        <f>IF(AND(N2="ja",Q3="ja"),R2,"")</f>
        <v/>
      </c>
      <c r="P3" t="str">
        <f t="array" ref="P3">IFERROR(INDEX($O$3:$O$57,MATCH(0,COUNTIF(P$2:$P2,$O$3:$O$57),0)),"")</f>
        <v/>
      </c>
      <c r="Q3" t="str">
        <f>IF(E3&gt;0,"ja","nein")</f>
        <v>nein</v>
      </c>
      <c r="R3" t="s">
        <v>8</v>
      </c>
      <c r="S3" t="str">
        <f>IF(Q3="JA",#REF!,"")</f>
        <v/>
      </c>
      <c r="T3" s="173" t="str">
        <f t="array" ref="T3">IFERROR(INDEX($S$3:$S$57,MATCH(0,COUNTIF(T$2:$T2,$S$3:$S$57),0)),"")</f>
        <v/>
      </c>
      <c r="U3" t="str">
        <f>IF(Q3="ja",I3,"")</f>
        <v/>
      </c>
      <c r="V3" s="173" t="str">
        <f t="array" ref="V3">IFERROR(INDEX($U$3:$U$65,MATCH(0,COUNTIF(V$2:$V2,$U$3:$U$65),0)),"")</f>
        <v/>
      </c>
      <c r="W3" s="348">
        <f>COUNTIFS($M$3:$M$57,"ja",$Q$3:$Q$57,"ja")</f>
        <v>0</v>
      </c>
      <c r="X3" s="165" t="str">
        <f>IF(AND($X$5&gt;0,$X$4=0),"ja",IF(AND($X$5&gt;0,$X$4&gt;0),"nein",IF(AND($X$5=0,$X$4&gt;0),"nein","nein")))</f>
        <v>nein</v>
      </c>
      <c r="Y3" s="165" cm="1">
        <f t="array" ref="Y3">SUMPRODUCT(($V$3:$V$57&lt;&gt;"")*(LEN($V$3:$V$57)&gt;0))-1-COUNTIF($V$3:$V$57,"keine Angabe")</f>
        <v>0</v>
      </c>
      <c r="Z3" s="165" cm="1">
        <f t="array" ref="Z3">SUMPRODUCT(($T$3:$T$57&lt;&gt;"")*(LEN($T$3:$T$57)&gt;0))</f>
        <v>0</v>
      </c>
      <c r="AA3" s="168" cm="1">
        <f t="array" ref="AA3">SUMPRODUCT(($P$3:$P$57&lt;&gt;"")*(LEN($P$3:$P$57)&gt;0))</f>
        <v>0</v>
      </c>
      <c r="AB3" t="s">
        <v>328</v>
      </c>
      <c r="AC3">
        <v>5</v>
      </c>
      <c r="AD3">
        <v>2</v>
      </c>
      <c r="AE3" t="str">
        <f>IFERROR(IF(AND($AA$3&gt;=$AC$3,$Y$3&gt;=$AD$3),"Var.1; ",""),"")</f>
        <v/>
      </c>
      <c r="AG3" s="173"/>
    </row>
    <row r="4" spans="1:39" ht="21.75" customHeight="1" thickBot="1" x14ac:dyDescent="0.25">
      <c r="A4" s="171" t="s">
        <v>656</v>
      </c>
      <c r="B4" s="55">
        <f>'Begr.-Rechner BIO'!$B5</f>
        <v>3.34</v>
      </c>
      <c r="C4" s="64">
        <f>'Begr.-Rechner BIO'!C5</f>
        <v>25</v>
      </c>
      <c r="D4" s="16">
        <f t="shared" ref="D4:D50" si="3">IF(ISERROR(C4*B4),0,C4*B4)</f>
        <v>83.5</v>
      </c>
      <c r="E4" s="141">
        <f>'Begr.-Rechner BIO'!E5</f>
        <v>0</v>
      </c>
      <c r="F4" s="65">
        <f t="shared" ref="F4:F50" si="4">IF(ISERROR(E4*B4),0,(E4*B4))</f>
        <v>0</v>
      </c>
      <c r="G4" s="66">
        <f t="shared" ref="G4:G50" si="5">IF(ISERROR(E4/C4),0,(E4/C4))</f>
        <v>0</v>
      </c>
      <c r="H4" s="61">
        <f t="shared" ref="H4:H50" si="6">IF(ISERROR($I$2*E4),0,($I$2*E4))</f>
        <v>0</v>
      </c>
      <c r="I4" t="str">
        <f>VLOOKUP(A4,'Begr.-Rechner BIO'!$A$4:$I$58,9,0)</f>
        <v>Gräser</v>
      </c>
      <c r="K4" s="596" t="str">
        <f>'Begr.-Rechner BIO'!L3</f>
        <v/>
      </c>
      <c r="L4" s="597"/>
      <c r="M4" t="s">
        <v>224</v>
      </c>
      <c r="N4" t="s">
        <v>224</v>
      </c>
      <c r="O4" t="str">
        <f t="shared" ref="O4:O57" si="7">IF(AND(N3="ja",Q4="ja"),R3,"")</f>
        <v/>
      </c>
      <c r="P4" t="str">
        <f t="array" ref="P4">IFERROR(INDEX($O$3:$O$57,MATCH(0,COUNTIF(P$2:$P3,$O$3:$O$57),0)),"")</f>
        <v/>
      </c>
      <c r="Q4" t="str">
        <f>IF(E4&gt;0,"ja","nein")</f>
        <v>nein</v>
      </c>
      <c r="R4" t="s">
        <v>64</v>
      </c>
      <c r="S4" t="str">
        <f t="shared" ref="S4:S50" si="8">IF(Q4="JA",R3,"")</f>
        <v/>
      </c>
      <c r="T4" s="173" t="str">
        <f t="array" ref="T4">IFERROR(INDEX($S$3:$S$57,MATCH(0,COUNTIF(T$2:$T3,$S$3:$S$57),0)),"")</f>
        <v/>
      </c>
      <c r="U4" t="str">
        <f t="shared" ref="U4:U50" si="9">IF(Q4="ja",I4,"")</f>
        <v/>
      </c>
      <c r="V4" s="173">
        <f t="array" ref="V4">IFERROR(INDEX($U$3:$U$65,MATCH(0,COUNTIF(V$2:$V3,$U$3:$U$65),0)),"")</f>
        <v>0</v>
      </c>
      <c r="X4" s="163">
        <f>COUNTIFS($M$3:$M$57,"nein",$Q$3:$Q$57,"ja")</f>
        <v>0</v>
      </c>
      <c r="AB4" t="s">
        <v>320</v>
      </c>
      <c r="AC4">
        <v>3</v>
      </c>
      <c r="AD4">
        <v>3</v>
      </c>
      <c r="AE4" t="str">
        <f>IFERROR(IF(AND($Z$3&gt;=$AC$4,$Y$3&gt;=$AD$4),"Var.2; ",""),"")</f>
        <v/>
      </c>
      <c r="AG4" s="173" t="s">
        <v>354</v>
      </c>
      <c r="AH4" t="s">
        <v>361</v>
      </c>
      <c r="AI4" t="s">
        <v>15</v>
      </c>
      <c r="AJ4" t="s">
        <v>462</v>
      </c>
      <c r="AK4">
        <v>0.7</v>
      </c>
      <c r="AL4">
        <v>0.87</v>
      </c>
      <c r="AM4" t="s">
        <v>540</v>
      </c>
    </row>
    <row r="5" spans="1:39" ht="21.75" customHeight="1" thickBot="1" x14ac:dyDescent="0.25">
      <c r="A5" s="171" t="s">
        <v>523</v>
      </c>
      <c r="B5" s="55">
        <f>'Begr.-Rechner BIO'!$B6</f>
        <v>1.75</v>
      </c>
      <c r="C5" s="64">
        <f>'Begr.-Rechner BIO'!C6</f>
        <v>170</v>
      </c>
      <c r="D5" s="16">
        <f t="shared" si="3"/>
        <v>297.5</v>
      </c>
      <c r="E5" s="141">
        <f>'Begr.-Rechner BIO'!E6</f>
        <v>0</v>
      </c>
      <c r="F5" s="65">
        <f t="shared" si="4"/>
        <v>0</v>
      </c>
      <c r="G5" s="66">
        <f t="shared" si="5"/>
        <v>0</v>
      </c>
      <c r="H5" s="61">
        <f t="shared" si="6"/>
        <v>0</v>
      </c>
      <c r="I5" t="str">
        <f>VLOOKUP(A5,'Begr.-Rechner BIO'!$A$4:$I$58,9,0)</f>
        <v>Leguminose</v>
      </c>
      <c r="M5" t="s">
        <v>224</v>
      </c>
      <c r="N5" t="s">
        <v>333</v>
      </c>
      <c r="O5" t="str">
        <f t="shared" si="7"/>
        <v/>
      </c>
      <c r="P5" t="str">
        <f t="array" ref="P5">IFERROR(INDEX($O$3:$O$57,MATCH(0,COUNTIF(P$2:$P4,$O$3:$O$57),0)),"")</f>
        <v/>
      </c>
      <c r="Q5" t="str">
        <f t="shared" ref="Q5:Q8" si="10">IF(E5&gt;0,"ja","nein")</f>
        <v>nein</v>
      </c>
      <c r="R5" t="s">
        <v>554</v>
      </c>
      <c r="S5" t="str">
        <f t="shared" si="8"/>
        <v/>
      </c>
      <c r="T5" s="173" t="str">
        <f t="array" ref="T5">IFERROR(INDEX($S$3:$S$57,MATCH(0,COUNTIF(T$2:$T4,$S$3:$S$57),0)),"")</f>
        <v/>
      </c>
      <c r="U5" t="str">
        <f t="shared" si="9"/>
        <v/>
      </c>
      <c r="V5" s="173" t="str">
        <f t="array" ref="V5">IFERROR(INDEX($U$3:$U$65,MATCH(0,COUNTIF(V$2:$V4,$U$3:$U$65),0)),"")</f>
        <v/>
      </c>
      <c r="X5" s="163">
        <f>COUNTIFS($M$3:$M$57,"ja",$Q$3:$Q$57,"ja")</f>
        <v>0</v>
      </c>
      <c r="AB5" t="s">
        <v>323</v>
      </c>
      <c r="AC5">
        <v>3</v>
      </c>
      <c r="AD5">
        <v>2</v>
      </c>
      <c r="AE5" t="str">
        <f>IFERROR(IF(AND($Z$3&gt;=$AC$5,$Y$3&gt;=$AD$5),"Var.3; ",""),"")</f>
        <v/>
      </c>
      <c r="AG5" s="173" t="s">
        <v>355</v>
      </c>
      <c r="AH5" t="s">
        <v>362</v>
      </c>
      <c r="AI5" t="s">
        <v>431</v>
      </c>
      <c r="AJ5" t="s">
        <v>463</v>
      </c>
      <c r="AK5">
        <v>0.8</v>
      </c>
      <c r="AL5">
        <v>0.87</v>
      </c>
      <c r="AM5" t="s">
        <v>540</v>
      </c>
    </row>
    <row r="6" spans="1:39" ht="21.75" customHeight="1" thickBot="1" x14ac:dyDescent="0.25">
      <c r="A6" s="171" t="s">
        <v>657</v>
      </c>
      <c r="B6" s="55">
        <f>'Begr.-Rechner BIO'!$B7</f>
        <v>2.8099999999999996</v>
      </c>
      <c r="C6" s="64">
        <f>'Begr.-Rechner BIO'!C7</f>
        <v>60</v>
      </c>
      <c r="D6" s="16">
        <f t="shared" si="3"/>
        <v>168.59999999999997</v>
      </c>
      <c r="E6" s="141">
        <f>'Begr.-Rechner BIO'!E7</f>
        <v>0</v>
      </c>
      <c r="F6" s="65">
        <f t="shared" si="4"/>
        <v>0</v>
      </c>
      <c r="G6" s="66">
        <f t="shared" si="5"/>
        <v>0</v>
      </c>
      <c r="H6" s="61">
        <f t="shared" si="6"/>
        <v>0</v>
      </c>
      <c r="I6" t="str">
        <f>VLOOKUP(A6,'Begr.-Rechner BIO'!$A$4:$I$58,9,0)</f>
        <v>Knöterichgewächse</v>
      </c>
      <c r="M6" t="s">
        <v>224</v>
      </c>
      <c r="N6" t="s">
        <v>333</v>
      </c>
      <c r="O6" t="str">
        <f t="shared" si="7"/>
        <v/>
      </c>
      <c r="P6" t="str">
        <f t="array" ref="P6">IFERROR(INDEX($O$3:$O$57,MATCH(0,COUNTIF(P$2:$P5,$O$3:$O$57),0)),"")</f>
        <v/>
      </c>
      <c r="Q6" t="str">
        <f t="shared" si="10"/>
        <v>nein</v>
      </c>
      <c r="R6" t="s">
        <v>10</v>
      </c>
      <c r="S6" t="str">
        <f t="shared" si="8"/>
        <v/>
      </c>
      <c r="T6" s="173" t="str">
        <f t="array" ref="T6">IFERROR(INDEX($S$3:$S$57,MATCH(0,COUNTIF(T$2:$T5,$S$3:$S$57),0)),"")</f>
        <v/>
      </c>
      <c r="U6" t="str">
        <f t="shared" si="9"/>
        <v/>
      </c>
      <c r="V6" s="173" t="str">
        <f t="array" ref="V6">IFERROR(INDEX($U$3:$U$65,MATCH(0,COUNTIF(V$2:$V5,$U$3:$U$65),0)),"")</f>
        <v/>
      </c>
      <c r="AB6" t="s">
        <v>324</v>
      </c>
      <c r="AC6">
        <v>3</v>
      </c>
      <c r="AD6">
        <v>2</v>
      </c>
      <c r="AE6" t="str">
        <f>IFERROR(IF(AND($Z$3&gt;=$AC$6,$Y$3&gt;=$AD$6),"Var.4; ",""),"")</f>
        <v/>
      </c>
      <c r="AG6" s="173" t="s">
        <v>159</v>
      </c>
      <c r="AI6" t="s">
        <v>94</v>
      </c>
      <c r="AJ6" t="s">
        <v>464</v>
      </c>
      <c r="AK6">
        <v>0.85</v>
      </c>
      <c r="AL6">
        <v>0.87</v>
      </c>
      <c r="AM6" t="s">
        <v>540</v>
      </c>
    </row>
    <row r="7" spans="1:39" ht="21.75" customHeight="1" thickBot="1" x14ac:dyDescent="0.25">
      <c r="A7" s="171" t="s">
        <v>658</v>
      </c>
      <c r="B7" s="55">
        <f>'Begr.-Rechner BIO'!$B8</f>
        <v>2.2549999999999999</v>
      </c>
      <c r="C7" s="64">
        <f>'Begr.-Rechner BIO'!C8</f>
        <v>60</v>
      </c>
      <c r="D7" s="16">
        <f t="shared" si="3"/>
        <v>135.29999999999998</v>
      </c>
      <c r="E7" s="141">
        <f>'Begr.-Rechner BIO'!E8</f>
        <v>0</v>
      </c>
      <c r="F7" s="65">
        <f t="shared" si="4"/>
        <v>0</v>
      </c>
      <c r="G7" s="66">
        <f t="shared" si="5"/>
        <v>0</v>
      </c>
      <c r="H7" s="61">
        <f t="shared" si="6"/>
        <v>0</v>
      </c>
      <c r="I7" t="str">
        <f>VLOOKUP(A7,'Begr.-Rechner BIO'!$A$4:$I$58,9,0)</f>
        <v>Knöterichgewächse</v>
      </c>
      <c r="M7" t="s">
        <v>224</v>
      </c>
      <c r="N7" t="s">
        <v>333</v>
      </c>
      <c r="O7" t="str">
        <f t="shared" si="7"/>
        <v/>
      </c>
      <c r="P7" t="str">
        <f t="array" ref="P7">IFERROR(INDEX($O$3:$O$57,MATCH(0,COUNTIF(P$2:$P6,$O$3:$O$57),0)),"")</f>
        <v/>
      </c>
      <c r="Q7" t="str">
        <f t="shared" si="10"/>
        <v>nein</v>
      </c>
      <c r="R7" t="s">
        <v>10</v>
      </c>
      <c r="S7" t="str">
        <f t="shared" si="8"/>
        <v/>
      </c>
      <c r="T7" s="173" t="str">
        <f t="array" ref="T7">IFERROR(INDEX($S$3:$S$57,MATCH(0,COUNTIF(T$2:$T6,$S$3:$S$57),0)),"")</f>
        <v/>
      </c>
      <c r="U7" t="str">
        <f t="shared" si="9"/>
        <v/>
      </c>
      <c r="V7" s="173" t="str">
        <f t="array" ref="V7">IFERROR(INDEX($U$3:$U$65,MATCH(0,COUNTIF(V$2:$V6,$U$3:$U$65),0)),"")</f>
        <v/>
      </c>
      <c r="W7" s="349" t="s">
        <v>539</v>
      </c>
      <c r="X7" s="253">
        <f>'Begr.-Rechner BIO'!L6</f>
        <v>0</v>
      </c>
      <c r="Y7" s="213" t="s">
        <v>541</v>
      </c>
      <c r="Z7" s="253" t="e">
        <f>VLOOKUP($X$7,$AJ$4:$AM$10,4,0)</f>
        <v>#N/A</v>
      </c>
      <c r="AB7" t="s">
        <v>325</v>
      </c>
      <c r="AC7">
        <v>3</v>
      </c>
      <c r="AD7">
        <v>2</v>
      </c>
      <c r="AE7" t="str">
        <f>IFERROR(IF(AND($Z$3&gt;=$AC$7,$Y$3&gt;=$AD$7),"Var.5; ",""),"")</f>
        <v/>
      </c>
      <c r="AG7" s="173" t="s">
        <v>356</v>
      </c>
      <c r="AI7" t="s">
        <v>432</v>
      </c>
      <c r="AJ7" t="s">
        <v>465</v>
      </c>
      <c r="AK7">
        <v>1</v>
      </c>
      <c r="AL7">
        <v>0.87</v>
      </c>
      <c r="AM7" t="s">
        <v>540</v>
      </c>
    </row>
    <row r="8" spans="1:39" ht="21.75" customHeight="1" thickBot="1" x14ac:dyDescent="0.25">
      <c r="A8" s="171" t="s">
        <v>659</v>
      </c>
      <c r="B8" s="55">
        <f>'Begr.-Rechner BIO'!$B9</f>
        <v>3.74</v>
      </c>
      <c r="C8" s="64">
        <f>'Begr.-Rechner BIO'!C9</f>
        <v>40</v>
      </c>
      <c r="D8" s="16">
        <f t="shared" si="3"/>
        <v>149.60000000000002</v>
      </c>
      <c r="E8" s="141">
        <f>'Begr.-Rechner BIO'!E9</f>
        <v>0</v>
      </c>
      <c r="F8" s="65">
        <f t="shared" si="4"/>
        <v>0</v>
      </c>
      <c r="G8" s="66">
        <f t="shared" si="5"/>
        <v>0</v>
      </c>
      <c r="H8" s="61">
        <f t="shared" si="6"/>
        <v>0</v>
      </c>
      <c r="I8" t="str">
        <f>VLOOKUP(A8,'Begr.-Rechner BIO'!$A$4:$I$58,9,0)</f>
        <v>Gräser</v>
      </c>
      <c r="M8" t="s">
        <v>224</v>
      </c>
      <c r="N8" t="s">
        <v>224</v>
      </c>
      <c r="O8" t="str">
        <f t="shared" si="7"/>
        <v/>
      </c>
      <c r="P8" t="str">
        <f t="array" ref="P8">IFERROR(INDEX($O$3:$O$57,MATCH(0,COUNTIF(P$2:$P7,$O$3:$O$57),0)),"")</f>
        <v/>
      </c>
      <c r="Q8" t="str">
        <f t="shared" si="10"/>
        <v>nein</v>
      </c>
      <c r="R8" t="s">
        <v>485</v>
      </c>
      <c r="S8" t="str">
        <f t="shared" si="8"/>
        <v/>
      </c>
      <c r="T8" s="173" t="str">
        <f t="array" ref="T8">IFERROR(INDEX($S$3:$S$57,MATCH(0,COUNTIF(T$2:$T7,$S$3:$S$57),0)),"")</f>
        <v/>
      </c>
      <c r="U8" t="str">
        <f t="shared" si="9"/>
        <v/>
      </c>
      <c r="V8" s="173" t="str">
        <f t="array" ref="V8">IFERROR(INDEX($U$3:$U$65,MATCH(0,COUNTIF(V$2:$V7,$U$3:$U$65),0)),"")</f>
        <v/>
      </c>
      <c r="W8" s="211" t="s">
        <v>459</v>
      </c>
      <c r="X8" s="211"/>
      <c r="Y8" s="212"/>
      <c r="Z8" s="213" t="s">
        <v>471</v>
      </c>
      <c r="AA8" s="214" t="s">
        <v>472</v>
      </c>
      <c r="AB8" t="s">
        <v>326</v>
      </c>
      <c r="AC8" s="158"/>
      <c r="AD8" s="158"/>
      <c r="AE8" t="str">
        <f>IFERROR(IF($X$3="ja","Var. 6 *",""),"")</f>
        <v/>
      </c>
      <c r="AG8" s="173" t="s">
        <v>313</v>
      </c>
      <c r="AI8" t="s">
        <v>433</v>
      </c>
      <c r="AJ8" t="s">
        <v>468</v>
      </c>
      <c r="AK8">
        <v>0.5</v>
      </c>
      <c r="AL8">
        <v>0.91</v>
      </c>
      <c r="AM8" t="s">
        <v>137</v>
      </c>
    </row>
    <row r="9" spans="1:39" ht="21.75" customHeight="1" thickBot="1" x14ac:dyDescent="0.25">
      <c r="A9" s="171" t="s">
        <v>660</v>
      </c>
      <c r="B9" s="55">
        <f>'Begr.-Rechner BIO'!$B10</f>
        <v>4.9400000000000004</v>
      </c>
      <c r="C9" s="64">
        <f>'Begr.-Rechner BIO'!C10</f>
        <v>30</v>
      </c>
      <c r="D9" s="16">
        <f t="shared" si="3"/>
        <v>148.20000000000002</v>
      </c>
      <c r="E9" s="141">
        <f>'Begr.-Rechner BIO'!E10</f>
        <v>0</v>
      </c>
      <c r="F9" s="65">
        <f t="shared" si="4"/>
        <v>0</v>
      </c>
      <c r="G9" s="66">
        <f t="shared" si="5"/>
        <v>0</v>
      </c>
      <c r="H9" s="61">
        <f t="shared" si="6"/>
        <v>0</v>
      </c>
      <c r="I9" t="str">
        <f>VLOOKUP(A9,'Begr.-Rechner BIO'!$A$4:$I$58,9,0)</f>
        <v>Gräser</v>
      </c>
      <c r="M9" t="s">
        <v>224</v>
      </c>
      <c r="N9" t="s">
        <v>224</v>
      </c>
      <c r="O9" t="str">
        <f t="shared" si="7"/>
        <v/>
      </c>
      <c r="P9" t="str">
        <f t="array" ref="P9">IFERROR(INDEX($O$3:$O$57,MATCH(0,COUNTIF(P$2:$P8,$O$3:$O$57),0)),"")</f>
        <v/>
      </c>
      <c r="Q9" t="str">
        <f t="shared" ref="Q9:Q25" si="11">IF(E9&gt;0,"ja","nein")</f>
        <v>nein</v>
      </c>
      <c r="R9" t="s">
        <v>751</v>
      </c>
      <c r="S9" t="str">
        <f t="shared" si="8"/>
        <v/>
      </c>
      <c r="T9" s="173" t="str">
        <f t="array" ref="T9">IFERROR(INDEX($S$3:$S$57,MATCH(0,COUNTIF(T$2:$T8,$S$3:$S$57),0)),"")</f>
        <v/>
      </c>
      <c r="U9" t="str">
        <f t="shared" si="9"/>
        <v/>
      </c>
      <c r="V9" s="173" t="str">
        <f t="array" ref="V9">IFERROR(INDEX($U$3:$U$65,MATCH(0,COUNTIF(V$2:$V8,$U$3:$U$65),0)),"")</f>
        <v/>
      </c>
      <c r="W9" s="211">
        <f>IF(OR(J2=0,AND(J2&gt;0,K4="0 %")),80,IF(AND(J2&gt;0,K4&gt;0),40,""))</f>
        <v>80</v>
      </c>
      <c r="X9" s="211">
        <f>IFERROR(IF('Begr.-Rechner BIO'!$L$6&lt;&gt;"",VLOOKUP('Begr.-Rechner BIO'!$L$6,'BIO (2)'!$AJ$4:$AL$10,2,0),1),"")</f>
        <v>1</v>
      </c>
      <c r="Y9" s="212">
        <f>IFERROR(IF('Begr.-Rechner BIO'!$L$6&lt;&gt;"",VLOOKUP('Begr.-Rechner BIO'!$L$6,'BIO (2)'!$AJ$4:$AL$10,3,0),1),"")</f>
        <v>1</v>
      </c>
      <c r="Z9">
        <f>IF('Begr.-Rechner BIO'!$L$6&lt;&gt;"",ROUND('BIO (2)'!W9/'BIO (2)'!X9/'BIO (2)'!Y9,1),60)</f>
        <v>60</v>
      </c>
      <c r="AA9" s="147" t="str">
        <f>IF('Begr.-Rechner BIO'!$L$6&lt;&gt;"",W9,"")</f>
        <v/>
      </c>
      <c r="AB9" t="s">
        <v>438</v>
      </c>
      <c r="AC9">
        <v>3</v>
      </c>
      <c r="AD9">
        <v>2</v>
      </c>
      <c r="AE9" t="str">
        <f>IFERROR(IF(AND($Z$3&gt;=$AC$9,$Y$3&gt;=$AD$9),"Var.7",""),"")</f>
        <v/>
      </c>
      <c r="AG9" s="173" t="s">
        <v>314</v>
      </c>
      <c r="AI9" t="s">
        <v>384</v>
      </c>
      <c r="AJ9" t="s">
        <v>469</v>
      </c>
      <c r="AK9">
        <v>0.1</v>
      </c>
      <c r="AL9">
        <v>0.91</v>
      </c>
      <c r="AM9" t="s">
        <v>137</v>
      </c>
    </row>
    <row r="10" spans="1:39" ht="21.75" customHeight="1" thickBot="1" x14ac:dyDescent="0.25">
      <c r="A10" s="171" t="s">
        <v>661</v>
      </c>
      <c r="B10" s="55">
        <f>'Begr.-Rechner BIO'!$B11</f>
        <v>6.58</v>
      </c>
      <c r="C10" s="64">
        <f>'Begr.-Rechner BIO'!C11</f>
        <v>180</v>
      </c>
      <c r="D10" s="16">
        <f t="shared" si="3"/>
        <v>1184.4000000000001</v>
      </c>
      <c r="E10" s="141">
        <f>'Begr.-Rechner BIO'!E11</f>
        <v>0</v>
      </c>
      <c r="F10" s="65">
        <f t="shared" si="4"/>
        <v>0</v>
      </c>
      <c r="G10" s="66">
        <f t="shared" si="5"/>
        <v>0</v>
      </c>
      <c r="H10" s="61">
        <f t="shared" si="6"/>
        <v>0</v>
      </c>
      <c r="I10" t="str">
        <f>VLOOKUP(A10,'Begr.-Rechner BIO'!$A$4:$I$58,9,0)</f>
        <v>Leguminose</v>
      </c>
      <c r="M10" t="s">
        <v>224</v>
      </c>
      <c r="N10" t="s">
        <v>333</v>
      </c>
      <c r="O10" t="str">
        <f t="shared" si="7"/>
        <v/>
      </c>
      <c r="P10" t="str">
        <f t="array" ref="P10">IFERROR(INDEX($O$3:$O$57,MATCH(0,COUNTIF(P$2:$P9,$O$3:$O$57),0)),"")</f>
        <v/>
      </c>
      <c r="Q10" t="str">
        <f t="shared" si="11"/>
        <v>nein</v>
      </c>
      <c r="R10" t="s">
        <v>66</v>
      </c>
      <c r="S10" t="str">
        <f t="shared" si="8"/>
        <v/>
      </c>
      <c r="T10" s="173" t="str">
        <f t="array" ref="T10">IFERROR(INDEX($S$3:$S$57,MATCH(0,COUNTIF(T$2:$T9,$S$3:$S$57),0)),"")</f>
        <v/>
      </c>
      <c r="U10" t="str">
        <f t="shared" si="9"/>
        <v/>
      </c>
      <c r="V10" s="173" t="str">
        <f t="array" ref="V10">IFERROR(INDEX($U$3:$U$65,MATCH(0,COUNTIF(V$2:$V9,$U$3:$U$65),0)),"")</f>
        <v/>
      </c>
      <c r="W10">
        <f>IF(OR(J2=0,AND(J2&gt;0,K4="0 %")),70,IF(AND(J2&gt;0,K4&gt;0),30,""))</f>
        <v>70</v>
      </c>
      <c r="X10">
        <f>IFERROR(IF('Begr.-Rechner BIO'!$L$6&lt;&gt;"",VLOOKUP('Begr.-Rechner BIO'!$L$6,'BIO (2)'!$AJ$4:$AL$10,2,0),1),"")</f>
        <v>1</v>
      </c>
      <c r="Y10" s="147">
        <f>IFERROR(IF('Begr.-Rechner BIO'!$L$6&lt;&gt;"",VLOOKUP('Begr.-Rechner BIO'!$L$6,'BIO (2)'!$AJ$4:$AL$10,3,0),1),"")</f>
        <v>1</v>
      </c>
      <c r="Z10">
        <f>IF('Begr.-Rechner BIO'!$L$6&lt;&gt;"",ROUND('BIO (2)'!W10/'BIO (2)'!X10/'BIO (2)'!Y10,1),60)</f>
        <v>60</v>
      </c>
      <c r="AA10" s="147" t="str">
        <f>IF('Begr.-Rechner BIO'!$L$6&lt;&gt;"",W10,"")</f>
        <v/>
      </c>
      <c r="AE10" t="str">
        <f>IF(AND($AE3="",AE4="",AE5="",AE6="",AE7="",AE8=""),"keine ÖPUL Konformität gegeben","")</f>
        <v>keine ÖPUL Konformität gegeben</v>
      </c>
      <c r="AG10" s="173" t="s">
        <v>117</v>
      </c>
      <c r="AJ10" t="s">
        <v>470</v>
      </c>
      <c r="AK10">
        <v>0.3</v>
      </c>
      <c r="AL10">
        <v>0.91</v>
      </c>
      <c r="AM10" t="s">
        <v>137</v>
      </c>
    </row>
    <row r="11" spans="1:39" ht="21.75" customHeight="1" thickBot="1" x14ac:dyDescent="0.25">
      <c r="A11" s="171" t="s">
        <v>662</v>
      </c>
      <c r="B11" s="55">
        <f>'Begr.-Rechner BIO'!$B12</f>
        <v>1.7650000000000001</v>
      </c>
      <c r="C11" s="64">
        <f>'Begr.-Rechner BIO'!C12</f>
        <v>160</v>
      </c>
      <c r="D11" s="16">
        <f t="shared" si="3"/>
        <v>282.40000000000003</v>
      </c>
      <c r="E11" s="141">
        <f>'Begr.-Rechner BIO'!E12</f>
        <v>0</v>
      </c>
      <c r="F11" s="65">
        <f t="shared" si="4"/>
        <v>0</v>
      </c>
      <c r="G11" s="66">
        <f t="shared" si="5"/>
        <v>0</v>
      </c>
      <c r="H11" s="61">
        <f t="shared" si="6"/>
        <v>0</v>
      </c>
      <c r="I11" t="str">
        <f>VLOOKUP(A11,'Begr.-Rechner BIO'!$A$4:$I$58,9,0)</f>
        <v>Leguminose</v>
      </c>
      <c r="M11" t="s">
        <v>224</v>
      </c>
      <c r="N11" t="s">
        <v>333</v>
      </c>
      <c r="O11" t="str">
        <f t="shared" si="7"/>
        <v/>
      </c>
      <c r="P11" t="str">
        <f t="array" ref="P11">IFERROR(INDEX($O$3:$O$57,MATCH(0,COUNTIF(P$2:$P10,$O$3:$O$57),0)),"")</f>
        <v/>
      </c>
      <c r="Q11" t="str">
        <f t="shared" si="11"/>
        <v>nein</v>
      </c>
      <c r="R11" t="s">
        <v>734</v>
      </c>
      <c r="S11" t="str">
        <f t="shared" si="8"/>
        <v/>
      </c>
      <c r="T11" s="173" t="str">
        <f t="array" ref="T11">IFERROR(INDEX($S$3:$S$57,MATCH(0,COUNTIF(T$2:$T10,$S$3:$S$57),0)),"")</f>
        <v/>
      </c>
      <c r="U11" t="str">
        <f t="shared" si="9"/>
        <v/>
      </c>
      <c r="V11" s="173" t="str">
        <f t="array" ref="V11">IFERROR(INDEX($U$3:$U$65,MATCH(0,COUNTIF(V$2:$V10,$U$3:$U$65),0)),"")</f>
        <v/>
      </c>
      <c r="W11" s="149">
        <v>60</v>
      </c>
      <c r="X11" s="149">
        <f>IFERROR(IF('Begr.-Rechner BIO'!$L$6&lt;&gt;"",VLOOKUP('Begr.-Rechner BIO'!$L$6,'BIO (2)'!$AJ$4:$AL$10,2,0),1),"")</f>
        <v>1</v>
      </c>
      <c r="Y11" s="150">
        <f>IFERROR(IF('Begr.-Rechner BIO'!$L$6&lt;&gt;"",VLOOKUP('Begr.-Rechner BIO'!$L$6,'BIO (2)'!$AJ$4:$AL$10,3,0),1),"")</f>
        <v>1</v>
      </c>
      <c r="Z11" s="149">
        <f>IF('Begr.-Rechner BIO'!$L$6&lt;&gt;"",W11,60)</f>
        <v>60</v>
      </c>
      <c r="AA11" s="150" t="str">
        <f>IF('Begr.-Rechner BIO'!$L$6&lt;&gt;"",ROUND('BIO (2)'!W11*'BIO (2)'!X11*'BIO (2)'!Y11,1),"")</f>
        <v/>
      </c>
      <c r="AG11" s="173" t="s">
        <v>312</v>
      </c>
    </row>
    <row r="12" spans="1:39" ht="29.25" thickBot="1" x14ac:dyDescent="0.25">
      <c r="A12" s="171" t="s">
        <v>521</v>
      </c>
      <c r="B12" s="55">
        <f>'Begr.-Rechner BIO'!$B13</f>
        <v>10.08</v>
      </c>
      <c r="C12" s="64">
        <f>'Begr.-Rechner BIO'!C13</f>
        <v>30</v>
      </c>
      <c r="D12" s="16">
        <f t="shared" si="3"/>
        <v>302.39999999999998</v>
      </c>
      <c r="E12" s="141">
        <f>'Begr.-Rechner BIO'!E13</f>
        <v>0</v>
      </c>
      <c r="F12" s="65">
        <f t="shared" si="4"/>
        <v>0</v>
      </c>
      <c r="G12" s="66">
        <f t="shared" si="5"/>
        <v>0</v>
      </c>
      <c r="H12" s="61">
        <f t="shared" si="6"/>
        <v>0</v>
      </c>
      <c r="I12" t="str">
        <f>VLOOKUP(A12,'Begr.-Rechner BIO'!$A$4:$I$58,9,0)</f>
        <v>Leguminose</v>
      </c>
      <c r="M12" t="s">
        <v>224</v>
      </c>
      <c r="N12" t="s">
        <v>333</v>
      </c>
      <c r="O12" t="str">
        <f t="shared" si="7"/>
        <v/>
      </c>
      <c r="P12" t="str">
        <f t="array" ref="P12">IFERROR(INDEX($O$3:$O$57,MATCH(0,COUNTIF(P$2:$P11,$O$3:$O$57),0)),"")</f>
        <v/>
      </c>
      <c r="Q12" t="str">
        <f t="shared" si="11"/>
        <v>nein</v>
      </c>
      <c r="R12" t="s">
        <v>151</v>
      </c>
      <c r="S12" t="str">
        <f t="shared" si="8"/>
        <v/>
      </c>
      <c r="T12" s="173" t="str">
        <f t="array" ref="T12">IFERROR(INDEX($S$3:$S$57,MATCH(0,COUNTIF(T$2:$T11,$S$3:$S$57),0)),"")</f>
        <v/>
      </c>
      <c r="U12" t="str">
        <f t="shared" si="9"/>
        <v/>
      </c>
      <c r="V12" s="173" t="str">
        <f t="array" ref="V12">IFERROR(INDEX($U$3:$U$65,MATCH(0,COUNTIF(V$2:$V11,$U$3:$U$65),0)),"")</f>
        <v/>
      </c>
      <c r="Y12" s="158" t="s">
        <v>473</v>
      </c>
      <c r="Z12">
        <f>IFERROR(IF(Z7="langsam",Z10,IF(Z7="leicht",MIN($Z$10:$Z$11),Z11)),Z11)</f>
        <v>60</v>
      </c>
      <c r="AA12" t="str">
        <f>IFERROR(IF(Z7="langsam",AA10,IF(Z7="leicht",MIN($AA$10:$AA$11),AA11)),"")</f>
        <v/>
      </c>
      <c r="AG12" s="173" t="s">
        <v>357</v>
      </c>
    </row>
    <row r="13" spans="1:39" ht="30" customHeight="1" thickBot="1" x14ac:dyDescent="0.25">
      <c r="A13" s="171" t="s">
        <v>650</v>
      </c>
      <c r="B13" s="55">
        <f>'Begr.-Rechner BIO'!$B14</f>
        <v>13.64</v>
      </c>
      <c r="C13" s="64">
        <f>'Begr.-Rechner BIO'!C14</f>
        <v>30</v>
      </c>
      <c r="D13" s="16">
        <f t="shared" si="3"/>
        <v>409.20000000000005</v>
      </c>
      <c r="E13" s="141"/>
      <c r="F13" s="65">
        <f t="shared" si="4"/>
        <v>0</v>
      </c>
      <c r="G13" s="66">
        <f t="shared" si="5"/>
        <v>0</v>
      </c>
      <c r="H13" s="61">
        <f t="shared" si="6"/>
        <v>0</v>
      </c>
      <c r="I13" t="str">
        <f>VLOOKUP(A13,'Begr.-Rechner BIO'!$A$4:$I$58,9,0)</f>
        <v>Gräser</v>
      </c>
      <c r="M13" t="s">
        <v>224</v>
      </c>
      <c r="N13" t="s">
        <v>224</v>
      </c>
      <c r="O13" t="str">
        <f t="shared" si="7"/>
        <v/>
      </c>
      <c r="P13" t="str">
        <f t="array" ref="P13">IFERROR(INDEX($O$3:$O$57,MATCH(0,COUNTIF(P$2:$P12,$O$3:$O$57),0)),"")</f>
        <v/>
      </c>
      <c r="Q13" t="str">
        <f t="shared" si="11"/>
        <v>nein</v>
      </c>
      <c r="R13" t="s">
        <v>645</v>
      </c>
      <c r="S13" t="str">
        <f t="shared" si="8"/>
        <v/>
      </c>
      <c r="T13" s="173" t="str">
        <f t="array" ref="T13">IFERROR(INDEX($S$3:$S$57,MATCH(0,COUNTIF(T$2:$T12,$S$3:$S$57),0)),"")</f>
        <v/>
      </c>
      <c r="U13" t="str">
        <f t="shared" si="9"/>
        <v/>
      </c>
      <c r="V13" s="173" t="str">
        <f t="array" ref="V13">IFERROR(INDEX($U$3:$U$65,MATCH(0,COUNTIF(V$2:$V12,$U$3:$U$65),0)),"")</f>
        <v/>
      </c>
      <c r="Y13" s="158" t="s">
        <v>474</v>
      </c>
      <c r="Z13">
        <f>IFERROR(IF(Z7="langsam",Z9,IF(Z7="leicht",MIN(Z11,Z9),Z11)),Z11)</f>
        <v>60</v>
      </c>
      <c r="AA13" t="str">
        <f>IFERROR(IF(Z7="langsam",AA9,IF(Z7="leicht",MIN(AA11,AA9),AA11)),"")</f>
        <v/>
      </c>
      <c r="AG13" s="173" t="s">
        <v>316</v>
      </c>
    </row>
    <row r="14" spans="1:39" ht="21.75" customHeight="1" thickBot="1" x14ac:dyDescent="0.25">
      <c r="A14" s="171" t="s">
        <v>663</v>
      </c>
      <c r="B14" s="55">
        <f>'Begr.-Rechner BIO'!$B15</f>
        <v>5.23</v>
      </c>
      <c r="C14" s="64">
        <f>'Begr.-Rechner BIO'!C15</f>
        <v>15</v>
      </c>
      <c r="D14" s="16">
        <f t="shared" si="3"/>
        <v>78.45</v>
      </c>
      <c r="E14" s="141">
        <f>'Begr.-Rechner BIO'!E15</f>
        <v>0</v>
      </c>
      <c r="F14" s="65">
        <f t="shared" si="4"/>
        <v>0</v>
      </c>
      <c r="G14" s="66">
        <f t="shared" si="5"/>
        <v>0</v>
      </c>
      <c r="H14" s="61">
        <f t="shared" si="6"/>
        <v>0</v>
      </c>
      <c r="I14" t="str">
        <f>VLOOKUP(A14,'Begr.-Rechner BIO'!$A$4:$I$58,9,0)</f>
        <v>Gräser</v>
      </c>
      <c r="M14" t="s">
        <v>224</v>
      </c>
      <c r="N14" t="s">
        <v>224</v>
      </c>
      <c r="O14" t="str">
        <f t="shared" si="7"/>
        <v/>
      </c>
      <c r="P14" t="str">
        <f t="array" ref="P14">IFERROR(INDEX($O$3:$O$57,MATCH(0,COUNTIF(P$2:$P13,$O$3:$O$57),0)),"")</f>
        <v/>
      </c>
      <c r="Q14" t="str">
        <f t="shared" si="11"/>
        <v>nein</v>
      </c>
      <c r="R14" t="s">
        <v>69</v>
      </c>
      <c r="S14" t="str">
        <f t="shared" si="8"/>
        <v/>
      </c>
      <c r="T14" s="173" t="str">
        <f t="array" ref="T14">IFERROR(INDEX($S$3:$S$57,MATCH(0,COUNTIF(T$2:$T13,$S$3:$S$57),0)),"")</f>
        <v/>
      </c>
      <c r="U14" t="str">
        <f t="shared" si="9"/>
        <v/>
      </c>
      <c r="V14" s="173" t="str">
        <f t="array" ref="V14">IFERROR(INDEX($U$3:$U$65,MATCH(0,COUNTIF(V$2:$V13,$U$3:$U$65),0)),"")</f>
        <v/>
      </c>
      <c r="AG14" s="173" t="s">
        <v>315</v>
      </c>
    </row>
    <row r="15" spans="1:39" ht="21.75" customHeight="1" thickBot="1" x14ac:dyDescent="0.25">
      <c r="A15" s="171" t="s">
        <v>522</v>
      </c>
      <c r="B15" s="55">
        <f>'Begr.-Rechner BIO'!$B16</f>
        <v>14.625</v>
      </c>
      <c r="C15" s="64">
        <f>'Begr.-Rechner BIO'!C16</f>
        <v>20</v>
      </c>
      <c r="D15" s="16">
        <f t="shared" si="3"/>
        <v>292.5</v>
      </c>
      <c r="E15" s="141">
        <f>'Begr.-Rechner BIO'!E16</f>
        <v>0</v>
      </c>
      <c r="F15" s="65">
        <f t="shared" si="4"/>
        <v>0</v>
      </c>
      <c r="G15" s="66">
        <f t="shared" si="5"/>
        <v>0</v>
      </c>
      <c r="H15" s="61">
        <f t="shared" si="6"/>
        <v>0</v>
      </c>
      <c r="I15" t="str">
        <f>VLOOKUP(A15,'Begr.-Rechner BIO'!$A$4:$I$58,9,0)</f>
        <v>Leguminose</v>
      </c>
      <c r="M15" t="s">
        <v>224</v>
      </c>
      <c r="N15" t="s">
        <v>333</v>
      </c>
      <c r="O15" t="str">
        <f t="shared" si="7"/>
        <v/>
      </c>
      <c r="P15" t="str">
        <f t="array" ref="P15">IFERROR(INDEX($O$3:$O$57,MATCH(0,COUNTIF(P$2:$P14,$O$3:$O$57),0)),"")</f>
        <v/>
      </c>
      <c r="Q15" t="str">
        <f t="shared" si="11"/>
        <v>nein</v>
      </c>
      <c r="R15" t="s">
        <v>70</v>
      </c>
      <c r="S15" t="str">
        <f t="shared" si="8"/>
        <v/>
      </c>
      <c r="T15" s="173" t="str">
        <f t="array" ref="T15">IFERROR(INDEX($S$3:$S$57,MATCH(0,COUNTIF(T$2:$T14,$S$3:$S$57),0)),"")</f>
        <v/>
      </c>
      <c r="U15" t="str">
        <f t="shared" si="9"/>
        <v/>
      </c>
      <c r="V15" s="173" t="str">
        <f t="array" ref="V15">IFERROR(INDEX($U$3:$U$65,MATCH(0,COUNTIF(V$2:$V14,$U$3:$U$65),0)),"")</f>
        <v/>
      </c>
      <c r="AG15" s="239" t="s">
        <v>427</v>
      </c>
    </row>
    <row r="16" spans="1:39" ht="21.75" customHeight="1" thickBot="1" x14ac:dyDescent="0.25">
      <c r="A16" s="171" t="s">
        <v>664</v>
      </c>
      <c r="B16" s="55">
        <f>'Begr.-Rechner BIO'!$B17</f>
        <v>5.13</v>
      </c>
      <c r="C16" s="64">
        <f>'Begr.-Rechner BIO'!C17</f>
        <v>30</v>
      </c>
      <c r="D16" s="16">
        <f t="shared" si="3"/>
        <v>153.9</v>
      </c>
      <c r="E16" s="141">
        <f>'Begr.-Rechner BIO'!E17</f>
        <v>0</v>
      </c>
      <c r="F16" s="65">
        <f t="shared" si="4"/>
        <v>0</v>
      </c>
      <c r="G16" s="66">
        <f t="shared" si="5"/>
        <v>0</v>
      </c>
      <c r="H16" s="61">
        <f t="shared" si="6"/>
        <v>0</v>
      </c>
      <c r="I16" t="str">
        <f>VLOOKUP(A16,'Begr.-Rechner BIO'!$A$4:$I$58,9,0)</f>
        <v>Leguminose</v>
      </c>
      <c r="M16" t="s">
        <v>224</v>
      </c>
      <c r="N16" t="s">
        <v>333</v>
      </c>
      <c r="O16" t="str">
        <f t="shared" si="7"/>
        <v/>
      </c>
      <c r="P16" t="str">
        <f t="array" ref="P16">IFERROR(INDEX($O$3:$O$57,MATCH(0,COUNTIF(P$2:$P15,$O$3:$O$57),0)),"")</f>
        <v/>
      </c>
      <c r="Q16" t="str">
        <f t="shared" si="11"/>
        <v>nein</v>
      </c>
      <c r="R16" t="s">
        <v>16</v>
      </c>
      <c r="S16" t="str">
        <f t="shared" si="8"/>
        <v/>
      </c>
      <c r="T16" s="173" t="str">
        <f t="array" ref="T16">IFERROR(INDEX($S$3:$S$57,MATCH(0,COUNTIF(T$2:$T15,$S$3:$S$57),0)),"")</f>
        <v/>
      </c>
      <c r="U16" t="str">
        <f t="shared" si="9"/>
        <v/>
      </c>
      <c r="V16" s="173" t="str">
        <f t="array" ref="V16">IFERROR(INDEX($U$3:$U$65,MATCH(0,COUNTIF(V$2:$V15,$U$3:$U$65),0)),"")</f>
        <v/>
      </c>
    </row>
    <row r="17" spans="1:22" ht="21.75" customHeight="1" thickBot="1" x14ac:dyDescent="0.25">
      <c r="A17" s="171" t="s">
        <v>665</v>
      </c>
      <c r="B17" s="55">
        <f>'Begr.-Rechner BIO'!$B18</f>
        <v>3.89</v>
      </c>
      <c r="C17" s="64">
        <f>'Begr.-Rechner BIO'!C18</f>
        <v>40</v>
      </c>
      <c r="D17" s="16">
        <f t="shared" si="3"/>
        <v>155.6</v>
      </c>
      <c r="E17" s="141">
        <f>'Begr.-Rechner BIO'!E18</f>
        <v>0</v>
      </c>
      <c r="F17" s="65">
        <f t="shared" si="4"/>
        <v>0</v>
      </c>
      <c r="G17" s="66">
        <f t="shared" si="5"/>
        <v>0</v>
      </c>
      <c r="H17" s="61">
        <f t="shared" si="6"/>
        <v>0</v>
      </c>
      <c r="I17" t="str">
        <f>VLOOKUP(A17,'Begr.-Rechner BIO'!$A$4:$I$58,9,0)</f>
        <v>Gräser</v>
      </c>
      <c r="M17" t="s">
        <v>224</v>
      </c>
      <c r="N17" t="s">
        <v>224</v>
      </c>
      <c r="O17" t="str">
        <f t="shared" si="7"/>
        <v/>
      </c>
      <c r="P17" t="str">
        <f t="array" ref="P17">IFERROR(INDEX($O$3:$O$57,MATCH(0,COUNTIF(P$2:$P16,$O$3:$O$57),0)),"")</f>
        <v/>
      </c>
      <c r="Q17" t="str">
        <f t="shared" si="11"/>
        <v>nein</v>
      </c>
      <c r="R17" t="s">
        <v>185</v>
      </c>
      <c r="S17" t="str">
        <f t="shared" si="8"/>
        <v/>
      </c>
      <c r="T17" s="173" t="str">
        <f t="array" ref="T17">IFERROR(INDEX($S$3:$S$57,MATCH(0,COUNTIF(T$2:$T16,$S$3:$S$57),0)),"")</f>
        <v/>
      </c>
      <c r="U17" t="str">
        <f t="shared" si="9"/>
        <v/>
      </c>
      <c r="V17" s="173" t="str">
        <f t="array" ref="V17">IFERROR(INDEX($U$3:$U$65,MATCH(0,COUNTIF(V$2:$V16,$U$3:$U$65),0)),"")</f>
        <v/>
      </c>
    </row>
    <row r="18" spans="1:22" ht="21.75" customHeight="1" thickBot="1" x14ac:dyDescent="0.25">
      <c r="A18" s="171" t="s">
        <v>666</v>
      </c>
      <c r="B18" s="55">
        <f>'Begr.-Rechner BIO'!$B19</f>
        <v>11.58</v>
      </c>
      <c r="C18" s="64">
        <f>'Begr.-Rechner BIO'!C19</f>
        <v>10</v>
      </c>
      <c r="D18" s="16">
        <f t="shared" si="3"/>
        <v>115.8</v>
      </c>
      <c r="E18" s="141">
        <f>'Begr.-Rechner BIO'!E19</f>
        <v>0</v>
      </c>
      <c r="F18" s="65">
        <f t="shared" si="4"/>
        <v>0</v>
      </c>
      <c r="G18" s="66">
        <f t="shared" si="5"/>
        <v>0</v>
      </c>
      <c r="H18" s="61">
        <f t="shared" si="6"/>
        <v>0</v>
      </c>
      <c r="I18" t="str">
        <f>VLOOKUP(A18,'Begr.-Rechner BIO'!$A$4:$I$58,9,0)</f>
        <v>Kreuzblütler</v>
      </c>
      <c r="M18" t="s">
        <v>224</v>
      </c>
      <c r="N18" t="s">
        <v>333</v>
      </c>
      <c r="O18" t="str">
        <f t="shared" si="7"/>
        <v/>
      </c>
      <c r="P18" t="str">
        <f t="array" ref="P18">IFERROR(INDEX($O$3:$O$57,MATCH(0,COUNTIF(P$2:$P17,$O$3:$O$57),0)),"")</f>
        <v/>
      </c>
      <c r="Q18" t="str">
        <f t="shared" si="11"/>
        <v>nein</v>
      </c>
      <c r="R18" t="s">
        <v>378</v>
      </c>
      <c r="S18" t="str">
        <f t="shared" si="8"/>
        <v/>
      </c>
      <c r="T18" s="173" t="str">
        <f t="array" ref="T18">IFERROR(INDEX($S$3:$S$57,MATCH(0,COUNTIF(T$2:$T17,$S$3:$S$57),0)),"")</f>
        <v/>
      </c>
      <c r="U18" t="str">
        <f t="shared" si="9"/>
        <v/>
      </c>
      <c r="V18" s="173" t="str">
        <f t="array" ref="V18">IFERROR(INDEX($U$3:$U$65,MATCH(0,COUNTIF(V$2:$V17,$U$3:$U$65),0)),"")</f>
        <v/>
      </c>
    </row>
    <row r="19" spans="1:22" ht="21.75" customHeight="1" thickBot="1" x14ac:dyDescent="0.25">
      <c r="A19" s="171" t="s">
        <v>515</v>
      </c>
      <c r="B19" s="55">
        <f>'Begr.-Rechner BIO'!$B20</f>
        <v>4.53</v>
      </c>
      <c r="C19" s="64">
        <f>'Begr.-Rechner BIO'!C20</f>
        <v>10</v>
      </c>
      <c r="D19" s="16">
        <f t="shared" si="3"/>
        <v>45.300000000000004</v>
      </c>
      <c r="E19" s="141">
        <f>'Begr.-Rechner BIO'!E20</f>
        <v>0</v>
      </c>
      <c r="F19" s="65">
        <f t="shared" si="4"/>
        <v>0</v>
      </c>
      <c r="G19" s="66">
        <f t="shared" si="5"/>
        <v>0</v>
      </c>
      <c r="H19" s="61">
        <f t="shared" si="6"/>
        <v>0</v>
      </c>
      <c r="I19" t="str">
        <f>VLOOKUP(A19,'Begr.-Rechner BIO'!$A$4:$I$58,9,0)</f>
        <v>Kreuzblütler</v>
      </c>
      <c r="M19" t="s">
        <v>224</v>
      </c>
      <c r="N19" t="s">
        <v>333</v>
      </c>
      <c r="O19" t="str">
        <f t="shared" si="7"/>
        <v/>
      </c>
      <c r="P19" t="str">
        <f t="array" ref="P19">IFERROR(INDEX($O$3:$O$57,MATCH(0,COUNTIF(P$2:$P18,$O$3:$O$57),0)),"")</f>
        <v/>
      </c>
      <c r="Q19" t="str">
        <f t="shared" si="11"/>
        <v>nein</v>
      </c>
      <c r="R19" t="s">
        <v>378</v>
      </c>
      <c r="S19" t="str">
        <f t="shared" si="8"/>
        <v/>
      </c>
      <c r="T19" s="173" t="str">
        <f t="array" ref="T19">IFERROR(INDEX($S$3:$S$57,MATCH(0,COUNTIF(T$2:$T18,$S$3:$S$57),0)),"")</f>
        <v/>
      </c>
      <c r="U19" t="str">
        <f t="shared" si="9"/>
        <v/>
      </c>
      <c r="V19" s="173" t="str">
        <f t="array" ref="V19">IFERROR(INDEX($U$3:$U$65,MATCH(0,COUNTIF(V$2:$V18,$U$3:$U$65),0)),"")</f>
        <v/>
      </c>
    </row>
    <row r="20" spans="1:22" ht="21.75" customHeight="1" thickBot="1" x14ac:dyDescent="0.25">
      <c r="A20" s="171" t="s">
        <v>752</v>
      </c>
      <c r="B20" s="55">
        <f>'Begr.-Rechner BIO'!$B21</f>
        <v>12.05</v>
      </c>
      <c r="C20" s="64">
        <f>'Begr.-Rechner BIO'!C21</f>
        <v>12</v>
      </c>
      <c r="D20" s="16">
        <f t="shared" si="3"/>
        <v>144.60000000000002</v>
      </c>
      <c r="E20" s="141">
        <f>'Begr.-Rechner BIO'!E21</f>
        <v>0</v>
      </c>
      <c r="F20" s="65">
        <f t="shared" si="4"/>
        <v>0</v>
      </c>
      <c r="G20" s="66">
        <f t="shared" si="5"/>
        <v>0</v>
      </c>
      <c r="H20" s="61">
        <f t="shared" si="6"/>
        <v>0</v>
      </c>
      <c r="I20" t="str">
        <f>VLOOKUP(A20,'Begr.-Rechner BIO'!$A$4:$I$58,9,0)</f>
        <v>Malvengewächse</v>
      </c>
      <c r="M20" t="s">
        <v>224</v>
      </c>
      <c r="N20" t="s">
        <v>333</v>
      </c>
      <c r="O20" t="str">
        <f t="shared" si="7"/>
        <v/>
      </c>
      <c r="P20" t="str">
        <f t="array" ref="P20">IFERROR(INDEX($O$3:$O$57,MATCH(0,COUNTIF(P$2:$P19,$O$3:$O$57),0)),"")</f>
        <v/>
      </c>
      <c r="Q20" t="str">
        <f t="shared" si="11"/>
        <v>nein</v>
      </c>
      <c r="R20" t="s">
        <v>558</v>
      </c>
      <c r="S20" t="str">
        <f t="shared" si="8"/>
        <v/>
      </c>
      <c r="T20" s="173" t="str">
        <f t="array" ref="T20">IFERROR(INDEX($S$3:$S$57,MATCH(0,COUNTIF(T$2:$T19,$S$3:$S$57),0)),"")</f>
        <v/>
      </c>
      <c r="U20" t="str">
        <f t="shared" si="9"/>
        <v/>
      </c>
      <c r="V20" s="173" t="str">
        <f t="array" ref="V20">IFERROR(INDEX($U$3:$U$65,MATCH(0,COUNTIF(V$2:$V19,$U$3:$U$65),0)),"")</f>
        <v/>
      </c>
    </row>
    <row r="21" spans="1:22" ht="21.75" customHeight="1" thickBot="1" x14ac:dyDescent="0.25">
      <c r="A21" s="171" t="s">
        <v>667</v>
      </c>
      <c r="B21" s="55">
        <f>'Begr.-Rechner BIO'!$B22</f>
        <v>8.5850000000000009</v>
      </c>
      <c r="C21" s="64">
        <f>'Begr.-Rechner BIO'!C22</f>
        <v>10</v>
      </c>
      <c r="D21" s="16">
        <f t="shared" si="3"/>
        <v>85.850000000000009</v>
      </c>
      <c r="E21" s="141">
        <f>'Begr.-Rechner BIO'!E22</f>
        <v>0</v>
      </c>
      <c r="F21" s="65">
        <f t="shared" si="4"/>
        <v>0</v>
      </c>
      <c r="G21" s="66">
        <f t="shared" si="5"/>
        <v>0</v>
      </c>
      <c r="H21" s="61">
        <f t="shared" si="6"/>
        <v>0</v>
      </c>
      <c r="I21" t="str">
        <f>VLOOKUP(A21,'Begr.-Rechner BIO'!$A$4:$I$58,9,0)</f>
        <v>Kreuzblütler</v>
      </c>
      <c r="M21" t="s">
        <v>224</v>
      </c>
      <c r="N21" t="s">
        <v>333</v>
      </c>
      <c r="O21" t="str">
        <f t="shared" si="7"/>
        <v/>
      </c>
      <c r="P21" t="str">
        <f t="array" ref="P21">IFERROR(INDEX($O$3:$O$57,MATCH(0,COUNTIF(P$2:$P20,$O$3:$O$57),0)),"")</f>
        <v/>
      </c>
      <c r="Q21" t="str">
        <f t="shared" si="11"/>
        <v>nein</v>
      </c>
      <c r="R21" t="s">
        <v>19</v>
      </c>
      <c r="S21" t="str">
        <f t="shared" si="8"/>
        <v/>
      </c>
      <c r="T21" s="173" t="str">
        <f t="array" ref="T21">IFERROR(INDEX($S$3:$S$57,MATCH(0,COUNTIF(T$2:$T20,$S$3:$S$57),0)),"")</f>
        <v/>
      </c>
      <c r="U21" t="str">
        <f t="shared" si="9"/>
        <v/>
      </c>
      <c r="V21" s="173" t="str">
        <f t="array" ref="V21">IFERROR(INDEX($U$3:$U$65,MATCH(0,COUNTIF(V$2:$V20,$U$3:$U$65),0)),"")</f>
        <v/>
      </c>
    </row>
    <row r="22" spans="1:22" ht="21.75" customHeight="1" thickBot="1" x14ac:dyDescent="0.25">
      <c r="A22" s="171" t="s">
        <v>668</v>
      </c>
      <c r="B22" s="55">
        <f>'Begr.-Rechner BIO'!$B23</f>
        <v>4.91</v>
      </c>
      <c r="C22" s="64">
        <f>'Begr.-Rechner BIO'!C23</f>
        <v>80</v>
      </c>
      <c r="D22" s="16">
        <f t="shared" si="3"/>
        <v>392.8</v>
      </c>
      <c r="E22" s="141">
        <f>'Begr.-Rechner BIO'!E23</f>
        <v>0</v>
      </c>
      <c r="F22" s="65">
        <f t="shared" si="4"/>
        <v>0</v>
      </c>
      <c r="G22" s="66">
        <f t="shared" si="5"/>
        <v>0</v>
      </c>
      <c r="H22" s="61">
        <f t="shared" si="6"/>
        <v>0</v>
      </c>
      <c r="I22" t="str">
        <f>VLOOKUP(A22,'Begr.-Rechner BIO'!$A$4:$I$58,9,0)</f>
        <v>Leguminose</v>
      </c>
      <c r="M22" t="s">
        <v>224</v>
      </c>
      <c r="N22" t="s">
        <v>333</v>
      </c>
      <c r="O22" t="str">
        <f t="shared" si="7"/>
        <v/>
      </c>
      <c r="P22" t="str">
        <f t="array" ref="P22">IFERROR(INDEX($O$3:$O$57,MATCH(0,COUNTIF(P$2:$P21,$O$3:$O$57),0)),"")</f>
        <v/>
      </c>
      <c r="Q22" t="str">
        <f t="shared" si="11"/>
        <v>nein</v>
      </c>
      <c r="R22" t="s">
        <v>441</v>
      </c>
      <c r="S22" t="str">
        <f t="shared" si="8"/>
        <v/>
      </c>
      <c r="T22" s="173" t="str">
        <f t="array" ref="T22">IFERROR(INDEX($S$3:$S$57,MATCH(0,COUNTIF(T$2:$T21,$S$3:$S$57),0)),"")</f>
        <v/>
      </c>
      <c r="U22" t="str">
        <f t="shared" si="9"/>
        <v/>
      </c>
      <c r="V22" s="173" t="str">
        <f t="array" ref="V22">IFERROR(INDEX($U$3:$U$65,MATCH(0,COUNTIF(V$2:$V21,$U$3:$U$65),0)),"")</f>
        <v/>
      </c>
    </row>
    <row r="23" spans="1:22" ht="21.75" customHeight="1" thickBot="1" x14ac:dyDescent="0.25">
      <c r="A23" s="171" t="s">
        <v>669</v>
      </c>
      <c r="B23" s="55">
        <f>'Begr.-Rechner BIO'!$B24</f>
        <v>9.870000000000001</v>
      </c>
      <c r="C23" s="64">
        <f>'Begr.-Rechner BIO'!C24</f>
        <v>25</v>
      </c>
      <c r="D23" s="16">
        <f t="shared" si="3"/>
        <v>246.75000000000003</v>
      </c>
      <c r="E23" s="141">
        <f>'Begr.-Rechner BIO'!E24</f>
        <v>0</v>
      </c>
      <c r="F23" s="65">
        <f t="shared" si="4"/>
        <v>0</v>
      </c>
      <c r="G23" s="66">
        <f t="shared" si="5"/>
        <v>0</v>
      </c>
      <c r="H23" s="61">
        <f t="shared" si="6"/>
        <v>0</v>
      </c>
      <c r="I23" t="str">
        <f>VLOOKUP(A23,'Begr.-Rechner BIO'!$A$4:$I$58,9,0)</f>
        <v>Leguminose</v>
      </c>
      <c r="M23" t="s">
        <v>224</v>
      </c>
      <c r="N23" t="s">
        <v>333</v>
      </c>
      <c r="O23" t="str">
        <f t="shared" si="7"/>
        <v/>
      </c>
      <c r="P23" t="str">
        <f t="array" ref="P23">IFERROR(INDEX($O$3:$O$57,MATCH(0,COUNTIF(P$2:$P22,$O$3:$O$57),0)),"")</f>
        <v/>
      </c>
      <c r="Q23" t="str">
        <f t="shared" si="11"/>
        <v>nein</v>
      </c>
      <c r="R23" t="s">
        <v>21</v>
      </c>
      <c r="S23" t="str">
        <f t="shared" si="8"/>
        <v/>
      </c>
      <c r="T23" s="173" t="str">
        <f t="array" ref="T23">IFERROR(INDEX($S$3:$S$57,MATCH(0,COUNTIF(T$2:$T22,$S$3:$S$57),0)),"")</f>
        <v/>
      </c>
      <c r="U23" t="str">
        <f t="shared" si="9"/>
        <v/>
      </c>
      <c r="V23" s="173" t="str">
        <f t="array" ref="V23">IFERROR(INDEX($U$3:$U$65,MATCH(0,COUNTIF(V$2:$V22,$U$3:$U$65),0)),"")</f>
        <v/>
      </c>
    </row>
    <row r="24" spans="1:22" ht="21.75" customHeight="1" thickBot="1" x14ac:dyDescent="0.25">
      <c r="A24" s="171" t="s">
        <v>670</v>
      </c>
      <c r="B24" s="55">
        <f>'Begr.-Rechner BIO'!$B25</f>
        <v>9.49</v>
      </c>
      <c r="C24" s="64">
        <f>'Begr.-Rechner BIO'!C25</f>
        <v>7</v>
      </c>
      <c r="D24" s="16">
        <f t="shared" si="3"/>
        <v>66.430000000000007</v>
      </c>
      <c r="E24" s="141">
        <f>'Begr.-Rechner BIO'!E25</f>
        <v>0</v>
      </c>
      <c r="F24" s="65">
        <f t="shared" si="4"/>
        <v>0</v>
      </c>
      <c r="G24" s="66">
        <f t="shared" si="5"/>
        <v>0</v>
      </c>
      <c r="H24" s="61">
        <f t="shared" si="6"/>
        <v>0</v>
      </c>
      <c r="I24" t="str">
        <f>VLOOKUP(A24,'Begr.-Rechner BIO'!$A$4:$I$58,9,0)</f>
        <v>Kreuzblütler</v>
      </c>
      <c r="M24" t="s">
        <v>224</v>
      </c>
      <c r="N24" t="s">
        <v>333</v>
      </c>
      <c r="O24" t="str">
        <f t="shared" si="7"/>
        <v/>
      </c>
      <c r="P24" t="str">
        <f t="array" ref="P24">IFERROR(INDEX($O$3:$O$57,MATCH(0,COUNTIF(P$2:$P23,$O$3:$O$57),0)),"")</f>
        <v/>
      </c>
      <c r="Q24" t="str">
        <f t="shared" si="11"/>
        <v>nein</v>
      </c>
      <c r="R24" t="s">
        <v>23</v>
      </c>
      <c r="S24" t="str">
        <f t="shared" si="8"/>
        <v/>
      </c>
      <c r="T24" s="173" t="str">
        <f t="array" ref="T24">IFERROR(INDEX($S$3:$S$57,MATCH(0,COUNTIF(T$2:$T23,$S$3:$S$57),0)),"")</f>
        <v/>
      </c>
      <c r="U24" t="str">
        <f t="shared" si="9"/>
        <v/>
      </c>
      <c r="V24" s="173" t="str">
        <f t="array" ref="V24">IFERROR(INDEX($U$3:$U$65,MATCH(0,COUNTIF(V$2:$V23,$U$3:$U$65),0)),"")</f>
        <v/>
      </c>
    </row>
    <row r="25" spans="1:22" ht="21.75" customHeight="1" thickBot="1" x14ac:dyDescent="0.25">
      <c r="A25" s="17" t="s">
        <v>514</v>
      </c>
      <c r="B25" s="55">
        <f>'Begr.-Rechner BIO'!$B26</f>
        <v>7.754999999999999</v>
      </c>
      <c r="C25" s="64">
        <f>'Begr.-Rechner BIO'!C26</f>
        <v>7</v>
      </c>
      <c r="D25" s="16">
        <f t="shared" si="3"/>
        <v>54.284999999999997</v>
      </c>
      <c r="E25" s="141">
        <f>'Begr.-Rechner BIO'!E26</f>
        <v>0</v>
      </c>
      <c r="F25" s="65">
        <f t="shared" si="4"/>
        <v>0</v>
      </c>
      <c r="G25" s="66">
        <f t="shared" si="5"/>
        <v>0</v>
      </c>
      <c r="H25" s="61">
        <f t="shared" si="6"/>
        <v>0</v>
      </c>
      <c r="I25" t="str">
        <f>VLOOKUP(A25,'Begr.-Rechner BIO'!$A$4:$I$58,9,0)</f>
        <v>Kreuzblütler</v>
      </c>
      <c r="M25" t="s">
        <v>224</v>
      </c>
      <c r="N25" t="s">
        <v>333</v>
      </c>
      <c r="O25" t="str">
        <f t="shared" si="7"/>
        <v/>
      </c>
      <c r="P25" t="str">
        <f t="array" ref="P25">IFERROR(INDEX($O$3:$O$57,MATCH(0,COUNTIF(P$2:$P24,$O$3:$O$57),0)),"")</f>
        <v/>
      </c>
      <c r="Q25" t="str">
        <f t="shared" si="11"/>
        <v>nein</v>
      </c>
      <c r="R25" t="s">
        <v>23</v>
      </c>
      <c r="S25" t="str">
        <f t="shared" si="8"/>
        <v/>
      </c>
      <c r="T25" s="173" t="str">
        <f t="array" ref="T25">IFERROR(INDEX($S$3:$S$57,MATCH(0,COUNTIF(T$2:$T24,$S$3:$S$57),0)),"")</f>
        <v/>
      </c>
      <c r="U25" t="str">
        <f t="shared" si="9"/>
        <v/>
      </c>
      <c r="V25" s="173" t="str">
        <f t="array" ref="V25">IFERROR(INDEX($U$3:$U$65,MATCH(0,COUNTIF(V$2:$V24,$U$3:$U$65),0)),"")</f>
        <v/>
      </c>
    </row>
    <row r="26" spans="1:22" ht="43.5" thickBot="1" x14ac:dyDescent="0.25">
      <c r="A26" s="171" t="s">
        <v>638</v>
      </c>
      <c r="B26" s="55">
        <f>'Begr.-Rechner BIO'!$B27</f>
        <v>4.1050000000000004</v>
      </c>
      <c r="C26" s="64">
        <f>'Begr.-Rechner BIO'!C27</f>
        <v>10</v>
      </c>
      <c r="D26" s="16">
        <f t="shared" si="3"/>
        <v>41.050000000000004</v>
      </c>
      <c r="E26" s="141">
        <f>'Begr.-Rechner BIO'!E27</f>
        <v>0</v>
      </c>
      <c r="F26" s="65">
        <f t="shared" si="4"/>
        <v>0</v>
      </c>
      <c r="G26" s="66">
        <f t="shared" si="5"/>
        <v>0</v>
      </c>
      <c r="H26" s="61">
        <f t="shared" si="6"/>
        <v>0</v>
      </c>
      <c r="I26" t="str">
        <f>VLOOKUP(A26,'Begr.-Rechner BIO'!$A$4:$I$58,9,0)</f>
        <v>Korbblütler</v>
      </c>
      <c r="M26" t="s">
        <v>224</v>
      </c>
      <c r="N26" t="s">
        <v>333</v>
      </c>
      <c r="O26" t="str">
        <f t="shared" si="7"/>
        <v/>
      </c>
      <c r="P26" t="str">
        <f t="array" ref="P26">IFERROR(INDEX($O$3:$O$57,MATCH(0,COUNTIF(P$2:$P25,$O$3:$O$57),0)),"")</f>
        <v/>
      </c>
      <c r="Q26" t="str">
        <f t="shared" ref="Q26:Q50" si="12">IF(E26&gt;0,"ja","nein")</f>
        <v>nein</v>
      </c>
      <c r="R26" s="158" t="s">
        <v>637</v>
      </c>
      <c r="S26" t="str">
        <f t="shared" si="8"/>
        <v/>
      </c>
      <c r="T26" s="173" t="str">
        <f t="array" ref="T26">IFERROR(INDEX($S$3:$S$57,MATCH(0,COUNTIF(T$2:$T25,$S$3:$S$57),0)),"")</f>
        <v/>
      </c>
      <c r="U26" t="str">
        <f t="shared" si="9"/>
        <v/>
      </c>
      <c r="V26" s="173" t="str">
        <f t="array" ref="V26">IFERROR(INDEX($U$3:$U$65,MATCH(0,COUNTIF(V$2:$V25,$U$3:$U$65),0)),"")</f>
        <v/>
      </c>
    </row>
    <row r="27" spans="1:22" ht="21.75" customHeight="1" thickBot="1" x14ac:dyDescent="0.25">
      <c r="A27" s="171" t="s">
        <v>652</v>
      </c>
      <c r="B27" s="55">
        <f>'Begr.-Rechner BIO'!$B28</f>
        <v>4.29</v>
      </c>
      <c r="C27" s="64">
        <f>'Begr.-Rechner BIO'!C28</f>
        <v>30</v>
      </c>
      <c r="D27" s="16">
        <f t="shared" si="3"/>
        <v>128.69999999999999</v>
      </c>
      <c r="E27" s="141">
        <f>'Begr.-Rechner BIO'!E28</f>
        <v>0</v>
      </c>
      <c r="F27" s="65">
        <f t="shared" si="4"/>
        <v>0</v>
      </c>
      <c r="G27" s="66">
        <f t="shared" si="5"/>
        <v>0</v>
      </c>
      <c r="H27" s="61">
        <f t="shared" si="6"/>
        <v>0</v>
      </c>
      <c r="I27" t="str">
        <f>VLOOKUP(A27,'Begr.-Rechner BIO'!$A$4:$I$58,9,0)</f>
        <v>Leingewächse</v>
      </c>
      <c r="M27" t="s">
        <v>224</v>
      </c>
      <c r="N27" t="s">
        <v>333</v>
      </c>
      <c r="O27" t="str">
        <f t="shared" si="7"/>
        <v/>
      </c>
      <c r="P27" t="str">
        <f t="array" ref="P27">IFERROR(INDEX($O$3:$O$57,MATCH(0,COUNTIF(P$2:$P26,$O$3:$O$57),0)),"")</f>
        <v/>
      </c>
      <c r="Q27" t="str">
        <f t="shared" si="12"/>
        <v>nein</v>
      </c>
      <c r="R27" t="s">
        <v>483</v>
      </c>
      <c r="S27" t="str">
        <f t="shared" si="8"/>
        <v/>
      </c>
      <c r="T27" s="173" t="str">
        <f t="array" ref="T27">IFERROR(INDEX($S$3:$S$57,MATCH(0,COUNTIF(T$2:$T26,$S$3:$S$57),0)),"")</f>
        <v/>
      </c>
      <c r="U27" t="str">
        <f t="shared" si="9"/>
        <v/>
      </c>
      <c r="V27" s="173" t="str">
        <f t="array" ref="V27">IFERROR(INDEX($U$3:$U$65,MATCH(0,COUNTIF(V$2:$V26,$U$3:$U$65),0)),"")</f>
        <v/>
      </c>
    </row>
    <row r="28" spans="1:22" ht="21.75" customHeight="1" thickBot="1" x14ac:dyDescent="0.25">
      <c r="A28" s="171" t="s">
        <v>671</v>
      </c>
      <c r="B28" s="55">
        <f>'Begr.-Rechner BIO'!$B29</f>
        <v>4.2300000000000004</v>
      </c>
      <c r="C28" s="64">
        <f>'Begr.-Rechner BIO'!C29</f>
        <v>20</v>
      </c>
      <c r="D28" s="16">
        <f t="shared" si="3"/>
        <v>84.600000000000009</v>
      </c>
      <c r="E28" s="141">
        <f>'Begr.-Rechner BIO'!E29</f>
        <v>0</v>
      </c>
      <c r="F28" s="65">
        <f t="shared" si="4"/>
        <v>0</v>
      </c>
      <c r="G28" s="66">
        <f t="shared" si="5"/>
        <v>0</v>
      </c>
      <c r="H28" s="61">
        <f t="shared" si="6"/>
        <v>0</v>
      </c>
      <c r="I28" t="str">
        <f>VLOOKUP(A28,'Begr.-Rechner BIO'!$A$4:$I$58,9,0)</f>
        <v>Kreuzblütler</v>
      </c>
      <c r="M28" t="s">
        <v>224</v>
      </c>
      <c r="N28" t="s">
        <v>333</v>
      </c>
      <c r="O28" t="str">
        <f t="shared" si="7"/>
        <v/>
      </c>
      <c r="P28" t="str">
        <f t="array" ref="P28">IFERROR(INDEX($O$3:$O$57,MATCH(0,COUNTIF(P$2:$P27,$O$3:$O$57),0)),"")</f>
        <v/>
      </c>
      <c r="Q28" t="str">
        <f t="shared" si="12"/>
        <v>nein</v>
      </c>
      <c r="R28" t="s">
        <v>24</v>
      </c>
      <c r="S28" t="str">
        <f t="shared" si="8"/>
        <v/>
      </c>
      <c r="T28" s="173" t="str">
        <f t="array" ref="T28">IFERROR(INDEX($S$3:$S$57,MATCH(0,COUNTIF(T$2:$T27,$S$3:$S$57),0)),"")</f>
        <v/>
      </c>
      <c r="U28" t="str">
        <f t="shared" si="9"/>
        <v/>
      </c>
      <c r="V28" s="173" t="str">
        <f t="array" ref="V28">IFERROR(INDEX($U$3:$U$65,MATCH(0,COUNTIF(V$2:$V27,$U$3:$U$65),0)),"")</f>
        <v/>
      </c>
    </row>
    <row r="29" spans="1:22" ht="21.75" customHeight="1" thickBot="1" x14ac:dyDescent="0.25">
      <c r="A29" s="171" t="s">
        <v>672</v>
      </c>
      <c r="B29" s="55">
        <f>'Begr.-Rechner BIO'!$B30</f>
        <v>7.6</v>
      </c>
      <c r="C29" s="64">
        <f>'Begr.-Rechner BIO'!C30</f>
        <v>20</v>
      </c>
      <c r="D29" s="16">
        <f t="shared" si="3"/>
        <v>152</v>
      </c>
      <c r="E29" s="141">
        <f>'Begr.-Rechner BIO'!E30</f>
        <v>0</v>
      </c>
      <c r="F29" s="65">
        <f t="shared" si="4"/>
        <v>0</v>
      </c>
      <c r="G29" s="66">
        <f t="shared" si="5"/>
        <v>0</v>
      </c>
      <c r="H29" s="61">
        <f t="shared" si="6"/>
        <v>0</v>
      </c>
      <c r="I29" t="str">
        <f>VLOOKUP(A29,'Begr.-Rechner BIO'!$A$4:$I$58,9,0)</f>
        <v>Leguminose</v>
      </c>
      <c r="M29" t="s">
        <v>224</v>
      </c>
      <c r="N29" t="s">
        <v>333</v>
      </c>
      <c r="O29" t="str">
        <f t="shared" si="7"/>
        <v/>
      </c>
      <c r="P29" t="str">
        <f t="array" ref="P29">IFERROR(INDEX($O$3:$O$57,MATCH(0,COUNTIF(P$2:$P28,$O$3:$O$57),0)),"")</f>
        <v/>
      </c>
      <c r="Q29" t="str">
        <f t="shared" si="12"/>
        <v>nein</v>
      </c>
      <c r="R29" t="s">
        <v>25</v>
      </c>
      <c r="S29" t="str">
        <f t="shared" si="8"/>
        <v/>
      </c>
      <c r="T29" s="173" t="str">
        <f t="array" ref="T29">IFERROR(INDEX($S$3:$S$57,MATCH(0,COUNTIF(T$2:$T28,$S$3:$S$57),0)),"")</f>
        <v/>
      </c>
      <c r="U29" t="str">
        <f t="shared" si="9"/>
        <v/>
      </c>
      <c r="V29" s="173" t="str">
        <f t="array" ref="V29">IFERROR(INDEX($U$3:$U$65,MATCH(0,COUNTIF(V$2:$V28,$U$3:$U$65),0)),"")</f>
        <v/>
      </c>
    </row>
    <row r="30" spans="1:22" ht="21.75" customHeight="1" thickBot="1" x14ac:dyDescent="0.25">
      <c r="A30" s="171" t="s">
        <v>673</v>
      </c>
      <c r="B30" s="55">
        <f>'Begr.-Rechner BIO'!$B31</f>
        <v>9.2149999999999999</v>
      </c>
      <c r="C30" s="64">
        <f>'Begr.-Rechner BIO'!C31</f>
        <v>12</v>
      </c>
      <c r="D30" s="16">
        <f t="shared" si="3"/>
        <v>110.58</v>
      </c>
      <c r="E30" s="141">
        <f>'Begr.-Rechner BIO'!E31</f>
        <v>0</v>
      </c>
      <c r="F30" s="65">
        <f t="shared" si="4"/>
        <v>0</v>
      </c>
      <c r="G30" s="66">
        <f t="shared" si="5"/>
        <v>0</v>
      </c>
      <c r="H30" s="61">
        <f t="shared" si="6"/>
        <v>0</v>
      </c>
      <c r="I30" t="str">
        <f>VLOOKUP(A30,'Begr.-Rechner BIO'!$A$4:$I$58,9,0)</f>
        <v>Wasserblattgewächse</v>
      </c>
      <c r="M30" t="s">
        <v>224</v>
      </c>
      <c r="N30" t="s">
        <v>333</v>
      </c>
      <c r="O30" t="str">
        <f t="shared" si="7"/>
        <v/>
      </c>
      <c r="P30" t="str">
        <f t="array" ref="P30">IFERROR(INDEX($O$3:$O$57,MATCH(0,COUNTIF(P$2:$P29,$O$3:$O$57),0)),"")</f>
        <v/>
      </c>
      <c r="Q30" t="str">
        <f t="shared" si="12"/>
        <v>nein</v>
      </c>
      <c r="R30" t="s">
        <v>646</v>
      </c>
      <c r="S30" t="str">
        <f t="shared" si="8"/>
        <v/>
      </c>
      <c r="T30" s="173" t="str">
        <f t="array" ref="T30">IFERROR(INDEX($S$3:$S$57,MATCH(0,COUNTIF(T$2:$T29,$S$3:$S$57),0)),"")</f>
        <v/>
      </c>
      <c r="U30" t="str">
        <f t="shared" si="9"/>
        <v/>
      </c>
      <c r="V30" s="173" t="str">
        <f t="array" ref="V30">IFERROR(INDEX($U$3:$U$65,MATCH(0,COUNTIF(V$2:$V29,$U$3:$U$65),0)),"")</f>
        <v/>
      </c>
    </row>
    <row r="31" spans="1:22" ht="21.75" customHeight="1" thickBot="1" x14ac:dyDescent="0.25">
      <c r="A31" s="171" t="s">
        <v>674</v>
      </c>
      <c r="B31" s="55">
        <f>'Begr.-Rechner BIO'!$B32</f>
        <v>3.3</v>
      </c>
      <c r="C31" s="64">
        <f>'Begr.-Rechner BIO'!C32</f>
        <v>140</v>
      </c>
      <c r="D31" s="16">
        <f t="shared" si="3"/>
        <v>462</v>
      </c>
      <c r="E31" s="141">
        <f>'Begr.-Rechner BIO'!E32</f>
        <v>0</v>
      </c>
      <c r="F31" s="65">
        <f t="shared" si="4"/>
        <v>0</v>
      </c>
      <c r="G31" s="66">
        <f t="shared" si="5"/>
        <v>0</v>
      </c>
      <c r="H31" s="61">
        <f t="shared" si="6"/>
        <v>0</v>
      </c>
      <c r="I31" t="str">
        <f>VLOOKUP(A31,'Begr.-Rechner BIO'!$A$4:$I$58,9,0)</f>
        <v>Leguminose</v>
      </c>
      <c r="M31" t="s">
        <v>224</v>
      </c>
      <c r="N31" t="s">
        <v>224</v>
      </c>
      <c r="O31" t="str">
        <f t="shared" si="7"/>
        <v/>
      </c>
      <c r="P31" t="str">
        <f t="array" ref="P31">IFERROR(INDEX($O$3:$O$57,MATCH(0,COUNTIF(P$2:$P30,$O$3:$O$57),0)),"")</f>
        <v/>
      </c>
      <c r="Q31" t="str">
        <f t="shared" si="12"/>
        <v>nein</v>
      </c>
      <c r="R31" t="s">
        <v>746</v>
      </c>
      <c r="S31" t="str">
        <f t="shared" si="8"/>
        <v/>
      </c>
      <c r="T31" s="173" t="str">
        <f t="array" ref="T31">IFERROR(INDEX($S$3:$S$57,MATCH(0,COUNTIF(T$2:$T30,$S$3:$S$57),0)),"")</f>
        <v/>
      </c>
      <c r="U31" t="str">
        <f t="shared" si="9"/>
        <v/>
      </c>
      <c r="V31" s="173" t="str">
        <f t="array" ref="V31">IFERROR(INDEX($U$3:$U$65,MATCH(0,COUNTIF(V$2:$V30,$U$3:$U$65),0)),"")</f>
        <v/>
      </c>
    </row>
    <row r="32" spans="1:22" ht="21.75" customHeight="1" thickBot="1" x14ac:dyDescent="0.25">
      <c r="A32" s="171" t="s">
        <v>524</v>
      </c>
      <c r="B32" s="55">
        <f>'Begr.-Rechner BIO'!$B33</f>
        <v>19.91</v>
      </c>
      <c r="C32" s="64">
        <f>'Begr.-Rechner BIO'!C33</f>
        <v>10</v>
      </c>
      <c r="D32" s="16">
        <f t="shared" si="3"/>
        <v>199.1</v>
      </c>
      <c r="E32" s="141">
        <f>'Begr.-Rechner BIO'!E33</f>
        <v>0</v>
      </c>
      <c r="F32" s="65">
        <f t="shared" si="4"/>
        <v>0</v>
      </c>
      <c r="G32" s="66">
        <f t="shared" si="5"/>
        <v>0</v>
      </c>
      <c r="H32" s="61">
        <f t="shared" si="6"/>
        <v>0</v>
      </c>
      <c r="I32" t="str">
        <f>VLOOKUP(A32,'Begr.-Rechner BIO'!$A$4:$I$58,9,0)</f>
        <v>Korbblütler</v>
      </c>
      <c r="M32" t="s">
        <v>224</v>
      </c>
      <c r="N32" t="s">
        <v>333</v>
      </c>
      <c r="O32" t="str">
        <f t="shared" si="7"/>
        <v/>
      </c>
      <c r="P32" t="str">
        <f t="array" ref="P32">IFERROR(INDEX($O$3:$O$57,MATCH(0,COUNTIF(P$2:$P31,$O$3:$O$57),0)),"")</f>
        <v/>
      </c>
      <c r="Q32" t="str">
        <f t="shared" si="12"/>
        <v>nein</v>
      </c>
      <c r="R32" t="s">
        <v>219</v>
      </c>
      <c r="S32" t="str">
        <f t="shared" si="8"/>
        <v/>
      </c>
      <c r="T32" s="173" t="str">
        <f t="array" ref="T32">IFERROR(INDEX($S$3:$S$57,MATCH(0,COUNTIF(T$2:$T31,$S$3:$S$57),0)),"")</f>
        <v/>
      </c>
      <c r="U32" t="str">
        <f t="shared" si="9"/>
        <v/>
      </c>
      <c r="V32" s="173" t="str">
        <f t="array" ref="V32">IFERROR(INDEX($U$3:$U$65,MATCH(0,COUNTIF(V$2:$V31,$U$3:$U$65),0)),"")</f>
        <v/>
      </c>
    </row>
    <row r="33" spans="1:22" ht="21.75" customHeight="1" thickBot="1" x14ac:dyDescent="0.25">
      <c r="A33" s="171" t="s">
        <v>675</v>
      </c>
      <c r="B33" s="55">
        <f>'Begr.-Rechner BIO'!$B34</f>
        <v>9.1050000000000004</v>
      </c>
      <c r="C33" s="64">
        <f>'Begr.-Rechner BIO'!C34</f>
        <v>25</v>
      </c>
      <c r="D33" s="16">
        <f t="shared" si="3"/>
        <v>227.625</v>
      </c>
      <c r="E33" s="141">
        <f>'Begr.-Rechner BIO'!E34</f>
        <v>0</v>
      </c>
      <c r="F33" s="65">
        <f t="shared" si="4"/>
        <v>0</v>
      </c>
      <c r="G33" s="66">
        <f t="shared" si="5"/>
        <v>0</v>
      </c>
      <c r="H33" s="61">
        <f t="shared" si="6"/>
        <v>0</v>
      </c>
      <c r="I33" t="str">
        <f>VLOOKUP(A33,'Begr.-Rechner BIO'!$A$4:$I$58,9,0)</f>
        <v>Leguminose</v>
      </c>
      <c r="M33" t="s">
        <v>224</v>
      </c>
      <c r="N33" t="s">
        <v>333</v>
      </c>
      <c r="O33" t="str">
        <f t="shared" si="7"/>
        <v/>
      </c>
      <c r="P33" t="str">
        <f t="array" ref="P33">IFERROR(INDEX($O$3:$O$57,MATCH(0,COUNTIF(P$2:$P32,$O$3:$O$57),0)),"")</f>
        <v/>
      </c>
      <c r="Q33" t="str">
        <f t="shared" si="12"/>
        <v>nein</v>
      </c>
      <c r="R33" t="s">
        <v>30</v>
      </c>
      <c r="S33" t="str">
        <f t="shared" si="8"/>
        <v/>
      </c>
      <c r="T33" s="173" t="str">
        <f t="array" ref="T33">IFERROR(INDEX($S$3:$S$57,MATCH(0,COUNTIF(T$2:$T32,$S$3:$S$57),0)),"")</f>
        <v/>
      </c>
      <c r="U33" t="str">
        <f t="shared" si="9"/>
        <v/>
      </c>
      <c r="V33" s="173" t="str">
        <f t="array" ref="V33">IFERROR(INDEX($U$3:$U$65,MATCH(0,COUNTIF(V$2:$V32,$U$3:$U$65),0)),"")</f>
        <v/>
      </c>
    </row>
    <row r="34" spans="1:22" ht="21.75" customHeight="1" thickBot="1" x14ac:dyDescent="0.25">
      <c r="A34" s="171" t="s">
        <v>676</v>
      </c>
      <c r="B34" s="55">
        <f>'Begr.-Rechner BIO'!$B35</f>
        <v>2.2000000000000002</v>
      </c>
      <c r="C34" s="64">
        <f>'Begr.-Rechner BIO'!C35</f>
        <v>110</v>
      </c>
      <c r="D34" s="16">
        <f t="shared" si="3"/>
        <v>242.00000000000003</v>
      </c>
      <c r="E34" s="141">
        <f>'Begr.-Rechner BIO'!E35</f>
        <v>0</v>
      </c>
      <c r="F34" s="65">
        <f t="shared" si="4"/>
        <v>0</v>
      </c>
      <c r="G34" s="66">
        <f t="shared" si="5"/>
        <v>0</v>
      </c>
      <c r="H34" s="61">
        <f t="shared" si="6"/>
        <v>0</v>
      </c>
      <c r="I34" t="str">
        <f>VLOOKUP(A34,'Begr.-Rechner BIO'!$A$4:$I$58,9,0)</f>
        <v>Leguminose</v>
      </c>
      <c r="M34" t="s">
        <v>224</v>
      </c>
      <c r="N34" t="s">
        <v>333</v>
      </c>
      <c r="O34" t="str">
        <f t="shared" si="7"/>
        <v/>
      </c>
      <c r="P34" t="str">
        <f t="array" ref="P34">IFERROR(INDEX($O$3:$O$57,MATCH(0,COUNTIF(P$2:$P33,$O$3:$O$57),0)),"")</f>
        <v/>
      </c>
      <c r="Q34" t="str">
        <f t="shared" si="12"/>
        <v>nein</v>
      </c>
      <c r="R34" t="s">
        <v>746</v>
      </c>
      <c r="S34" t="str">
        <f t="shared" si="8"/>
        <v/>
      </c>
      <c r="T34" s="173" t="str">
        <f t="array" ref="T34">IFERROR(INDEX($S$3:$S$57,MATCH(0,COUNTIF(T$2:$T33,$S$3:$S$57),0)),"")</f>
        <v/>
      </c>
      <c r="U34" t="str">
        <f t="shared" si="9"/>
        <v/>
      </c>
      <c r="V34" s="173" t="str">
        <f t="array" ref="V34">IFERROR(INDEX($U$3:$U$65,MATCH(0,COUNTIF(V$2:$V33,$U$3:$U$65),0)),"")</f>
        <v/>
      </c>
    </row>
    <row r="35" spans="1:22" ht="21.75" customHeight="1" thickBot="1" x14ac:dyDescent="0.25">
      <c r="A35" s="171" t="s">
        <v>677</v>
      </c>
      <c r="B35" s="55">
        <f>'Begr.-Rechner BIO'!$B36</f>
        <v>2.73</v>
      </c>
      <c r="C35" s="64">
        <f>'Begr.-Rechner BIO'!C36</f>
        <v>130</v>
      </c>
      <c r="D35" s="16">
        <f t="shared" si="3"/>
        <v>354.9</v>
      </c>
      <c r="E35" s="141">
        <f>'Begr.-Rechner BIO'!E36</f>
        <v>0</v>
      </c>
      <c r="F35" s="65">
        <f t="shared" si="4"/>
        <v>0</v>
      </c>
      <c r="G35" s="66">
        <f t="shared" si="5"/>
        <v>0</v>
      </c>
      <c r="H35" s="61">
        <f t="shared" si="6"/>
        <v>0</v>
      </c>
      <c r="I35" t="str">
        <f>VLOOKUP(A35,'Begr.-Rechner BIO'!$A$4:$I$58,9,0)</f>
        <v>Leguminose</v>
      </c>
      <c r="M35" t="s">
        <v>224</v>
      </c>
      <c r="N35" t="s">
        <v>333</v>
      </c>
      <c r="O35" t="str">
        <f t="shared" si="7"/>
        <v/>
      </c>
      <c r="P35" t="str">
        <f t="array" ref="P35">IFERROR(INDEX($O$3:$O$57,MATCH(0,COUNTIF(P$2:$P34,$O$3:$O$57),0)),"")</f>
        <v/>
      </c>
      <c r="Q35" t="str">
        <f t="shared" si="12"/>
        <v>nein</v>
      </c>
      <c r="R35" t="s">
        <v>737</v>
      </c>
      <c r="S35" t="str">
        <f t="shared" si="8"/>
        <v/>
      </c>
      <c r="T35" s="173" t="str">
        <f t="array" ref="T35">IFERROR(INDEX($S$3:$S$57,MATCH(0,COUNTIF(T$2:$T34,$S$3:$S$57),0)),"")</f>
        <v/>
      </c>
      <c r="U35" t="str">
        <f t="shared" si="9"/>
        <v/>
      </c>
      <c r="V35" s="173" t="str">
        <f t="array" ref="V35">IFERROR(INDEX($U$3:$U$65,MATCH(0,COUNTIF(V$2:$V34,$U$3:$U$65),0)),"")</f>
        <v/>
      </c>
    </row>
    <row r="36" spans="1:22" ht="21.75" customHeight="1" thickBot="1" x14ac:dyDescent="0.25">
      <c r="A36" s="171" t="s">
        <v>1058</v>
      </c>
      <c r="B36" s="55">
        <f>'Begr.-Rechner BIO'!$B37</f>
        <v>5.95</v>
      </c>
      <c r="C36" s="64">
        <f>'Begr.-Rechner BIO'!C37</f>
        <v>10</v>
      </c>
      <c r="D36" s="16">
        <f t="shared" si="3"/>
        <v>59.5</v>
      </c>
      <c r="E36" s="141">
        <f>'Begr.-Rechner BIO'!E37</f>
        <v>0</v>
      </c>
      <c r="F36" s="65">
        <f t="shared" si="4"/>
        <v>0</v>
      </c>
      <c r="G36" s="66">
        <f t="shared" si="5"/>
        <v>0</v>
      </c>
      <c r="H36" s="61">
        <f t="shared" si="6"/>
        <v>0</v>
      </c>
      <c r="I36" t="str">
        <f>VLOOKUP(A36,'Begr.-Rechner BIO'!$A$4:$I$58,9,0)</f>
        <v>Kreuzblütler</v>
      </c>
      <c r="M36" t="s">
        <v>224</v>
      </c>
      <c r="N36" t="s">
        <v>333</v>
      </c>
      <c r="O36" t="str">
        <f t="shared" si="7"/>
        <v/>
      </c>
      <c r="P36" t="str">
        <f t="array" ref="P36">IFERROR(INDEX($O$3:$O$57,MATCH(0,COUNTIF(P$2:$P35,$O$3:$O$57),0)),"")</f>
        <v/>
      </c>
      <c r="Q36" t="str">
        <f t="shared" si="12"/>
        <v>nein</v>
      </c>
      <c r="R36" t="s">
        <v>32</v>
      </c>
      <c r="S36" t="str">
        <f t="shared" si="8"/>
        <v/>
      </c>
      <c r="T36" s="173" t="str">
        <f t="array" ref="T36">IFERROR(INDEX($S$3:$S$57,MATCH(0,COUNTIF(T$2:$T35,$S$3:$S$57),0)),"")</f>
        <v/>
      </c>
      <c r="U36" t="str">
        <f t="shared" si="9"/>
        <v/>
      </c>
      <c r="V36" s="173" t="str">
        <f t="array" ref="V36">IFERROR(INDEX($U$3:$U$65,MATCH(0,COUNTIF(V$2:$V35,$U$3:$U$65),0)),"")</f>
        <v/>
      </c>
    </row>
    <row r="37" spans="1:22" ht="21.75" customHeight="1" thickBot="1" x14ac:dyDescent="0.25">
      <c r="A37" s="171" t="s">
        <v>525</v>
      </c>
      <c r="B37" s="55">
        <f>'Begr.-Rechner BIO'!$B38</f>
        <v>12.71</v>
      </c>
      <c r="C37" s="64">
        <f>'Begr.-Rechner BIO'!C38</f>
        <v>20</v>
      </c>
      <c r="D37" s="16">
        <f t="shared" si="3"/>
        <v>254.20000000000002</v>
      </c>
      <c r="E37" s="141">
        <f>'Begr.-Rechner BIO'!E38</f>
        <v>0</v>
      </c>
      <c r="F37" s="65">
        <f t="shared" si="4"/>
        <v>0</v>
      </c>
      <c r="G37" s="66">
        <f t="shared" si="5"/>
        <v>0</v>
      </c>
      <c r="H37" s="61">
        <f t="shared" si="6"/>
        <v>0</v>
      </c>
      <c r="I37" t="str">
        <f>VLOOKUP(A37,'Begr.-Rechner BIO'!$A$4:$I$58,9,0)</f>
        <v>Leguminose</v>
      </c>
      <c r="M37" t="s">
        <v>224</v>
      </c>
      <c r="N37" t="s">
        <v>333</v>
      </c>
      <c r="O37" t="str">
        <f t="shared" si="7"/>
        <v/>
      </c>
      <c r="P37" t="str">
        <f t="array" ref="P37">IFERROR(INDEX($O$3:$O$57,MATCH(0,COUNTIF(P$2:$P36,$O$3:$O$57),0)),"")</f>
        <v/>
      </c>
      <c r="Q37" t="str">
        <f t="shared" si="12"/>
        <v>nein</v>
      </c>
      <c r="R37" t="s">
        <v>33</v>
      </c>
      <c r="S37" t="str">
        <f t="shared" si="8"/>
        <v/>
      </c>
      <c r="T37" s="173" t="str">
        <f t="array" ref="T37">IFERROR(INDEX($S$3:$S$57,MATCH(0,COUNTIF(T$2:$T36,$S$3:$S$57),0)),"")</f>
        <v/>
      </c>
      <c r="U37" t="str">
        <f t="shared" si="9"/>
        <v/>
      </c>
      <c r="V37" s="173" t="str">
        <f t="array" ref="V37">IFERROR(INDEX($U$3:$U$65,MATCH(0,COUNTIF(V$2:$V36,$U$3:$U$65),0)),"")</f>
        <v/>
      </c>
    </row>
    <row r="38" spans="1:22" ht="21.75" customHeight="1" thickBot="1" x14ac:dyDescent="0.25">
      <c r="A38" s="171" t="s">
        <v>678</v>
      </c>
      <c r="B38" s="55">
        <f>'Begr.-Rechner BIO'!$B39</f>
        <v>2.98</v>
      </c>
      <c r="C38" s="64">
        <f>'Begr.-Rechner BIO'!C39</f>
        <v>15</v>
      </c>
      <c r="D38" s="16">
        <f t="shared" si="3"/>
        <v>44.7</v>
      </c>
      <c r="E38" s="141">
        <f>'Begr.-Rechner BIO'!E39</f>
        <v>0</v>
      </c>
      <c r="F38" s="65">
        <f t="shared" si="4"/>
        <v>0</v>
      </c>
      <c r="G38" s="66">
        <f t="shared" si="5"/>
        <v>0</v>
      </c>
      <c r="H38" s="61">
        <f t="shared" si="6"/>
        <v>0</v>
      </c>
      <c r="I38" t="str">
        <f>VLOOKUP(A38,'Begr.-Rechner BIO'!$A$4:$I$58,9,0)</f>
        <v>Kreuzblütler</v>
      </c>
      <c r="M38" t="s">
        <v>224</v>
      </c>
      <c r="N38" t="s">
        <v>333</v>
      </c>
      <c r="O38" t="str">
        <f t="shared" si="7"/>
        <v/>
      </c>
      <c r="P38" t="str">
        <f t="array" ref="P38">IFERROR(INDEX($O$3:$O$57,MATCH(0,COUNTIF(P$2:$P37,$O$3:$O$57),0)),"")</f>
        <v/>
      </c>
      <c r="Q38" t="str">
        <f t="shared" si="12"/>
        <v>nein</v>
      </c>
      <c r="R38" t="s">
        <v>34</v>
      </c>
      <c r="S38" t="str">
        <f t="shared" si="8"/>
        <v/>
      </c>
      <c r="T38" s="173" t="str">
        <f t="array" ref="T38">IFERROR(INDEX($S$3:$S$57,MATCH(0,COUNTIF(T$2:$T37,$S$3:$S$57),0)),"")</f>
        <v/>
      </c>
      <c r="U38" t="str">
        <f t="shared" si="9"/>
        <v/>
      </c>
      <c r="V38" s="173" t="str">
        <f t="array" ref="V38">IFERROR(INDEX($U$3:$U$65,MATCH(0,COUNTIF(V$2:$V37,$U$3:$U$65),0)),"")</f>
        <v/>
      </c>
    </row>
    <row r="39" spans="1:22" ht="21.75" customHeight="1" thickBot="1" x14ac:dyDescent="0.25">
      <c r="A39" s="171" t="s">
        <v>518</v>
      </c>
      <c r="B39" s="55">
        <f>'Begr.-Rechner BIO'!$B40</f>
        <v>3.8949999999999996</v>
      </c>
      <c r="C39" s="64">
        <f>'Begr.-Rechner BIO'!C40</f>
        <v>15</v>
      </c>
      <c r="D39" s="16">
        <f t="shared" si="3"/>
        <v>58.424999999999997</v>
      </c>
      <c r="E39" s="141">
        <f>'Begr.-Rechner BIO'!E40</f>
        <v>0</v>
      </c>
      <c r="F39" s="65">
        <f t="shared" si="4"/>
        <v>0</v>
      </c>
      <c r="G39" s="66">
        <f t="shared" si="5"/>
        <v>0</v>
      </c>
      <c r="H39" s="61">
        <f t="shared" si="6"/>
        <v>0</v>
      </c>
      <c r="I39" t="str">
        <f>VLOOKUP(A39,'Begr.-Rechner BIO'!$A$4:$I$58,9,0)</f>
        <v>Kreuzblütler</v>
      </c>
      <c r="M39" t="s">
        <v>224</v>
      </c>
      <c r="N39" t="s">
        <v>333</v>
      </c>
      <c r="O39" t="str">
        <f t="shared" si="7"/>
        <v/>
      </c>
      <c r="P39" t="str">
        <f t="array" ref="P39">IFERROR(INDEX($O$3:$O$57,MATCH(0,COUNTIF(P$2:$P38,$O$3:$O$57),0)),"")</f>
        <v/>
      </c>
      <c r="Q39" t="str">
        <f t="shared" si="12"/>
        <v>nein</v>
      </c>
      <c r="R39" t="s">
        <v>739</v>
      </c>
      <c r="S39" t="str">
        <f t="shared" si="8"/>
        <v/>
      </c>
      <c r="T39" s="173" t="str">
        <f t="array" ref="T39">IFERROR(INDEX($S$3:$S$57,MATCH(0,COUNTIF(T$2:$T38,$S$3:$S$57),0)),"")</f>
        <v/>
      </c>
      <c r="U39" t="str">
        <f t="shared" si="9"/>
        <v/>
      </c>
      <c r="V39" s="173" t="str">
        <f t="array" ref="V39">IFERROR(INDEX($U$3:$U$65,MATCH(0,COUNTIF(V$2:$V38,$U$3:$U$65),0)),"")</f>
        <v/>
      </c>
    </row>
    <row r="40" spans="1:22" ht="21.75" customHeight="1" thickBot="1" x14ac:dyDescent="0.25">
      <c r="A40" s="171" t="s">
        <v>526</v>
      </c>
      <c r="B40" s="55">
        <f>'Begr.-Rechner BIO'!$B41</f>
        <v>21.52</v>
      </c>
      <c r="C40" s="64">
        <f>'Begr.-Rechner BIO'!C41</f>
        <v>20</v>
      </c>
      <c r="D40" s="16">
        <f t="shared" si="3"/>
        <v>430.4</v>
      </c>
      <c r="E40" s="141">
        <f>'Begr.-Rechner BIO'!E41</f>
        <v>0</v>
      </c>
      <c r="F40" s="65">
        <f t="shared" si="4"/>
        <v>0</v>
      </c>
      <c r="G40" s="66">
        <f t="shared" si="5"/>
        <v>0</v>
      </c>
      <c r="H40" s="61">
        <f t="shared" si="6"/>
        <v>0</v>
      </c>
      <c r="I40" t="str">
        <f>VLOOKUP(A40,'Begr.-Rechner BIO'!$A$4:$I$58,9,0)</f>
        <v>Wegerichgewächse</v>
      </c>
      <c r="M40" t="s">
        <v>224</v>
      </c>
      <c r="N40" t="s">
        <v>333</v>
      </c>
      <c r="O40" t="str">
        <f t="shared" si="7"/>
        <v/>
      </c>
      <c r="P40" t="str">
        <f t="array" ref="P40">IFERROR(INDEX($O$3:$O$57,MATCH(0,COUNTIF(P$2:$P39,$O$3:$O$57),0)),"")</f>
        <v/>
      </c>
      <c r="Q40" t="str">
        <f t="shared" si="12"/>
        <v>nein</v>
      </c>
      <c r="R40" t="s">
        <v>380</v>
      </c>
      <c r="S40" t="str">
        <f t="shared" si="8"/>
        <v/>
      </c>
      <c r="T40" s="173" t="str">
        <f t="array" ref="T40">IFERROR(INDEX($S$3:$S$57,MATCH(0,COUNTIF(T$2:$T39,$S$3:$S$57),0)),"")</f>
        <v/>
      </c>
      <c r="U40" t="str">
        <f t="shared" si="9"/>
        <v/>
      </c>
      <c r="V40" s="173" t="str">
        <f t="array" ref="V40">IFERROR(INDEX($U$3:$U$65,MATCH(0,COUNTIF(V$2:$V39,$U$3:$U$65),0)),"")</f>
        <v/>
      </c>
    </row>
    <row r="41" spans="1:22" ht="21.75" customHeight="1" thickBot="1" x14ac:dyDescent="0.25">
      <c r="A41" s="171" t="s">
        <v>519</v>
      </c>
      <c r="B41" s="55">
        <f>'Begr.-Rechner BIO'!$B42</f>
        <v>6.26</v>
      </c>
      <c r="C41" s="64">
        <f>'Begr.-Rechner BIO'!C42</f>
        <v>25</v>
      </c>
      <c r="D41" s="16">
        <f t="shared" si="3"/>
        <v>156.5</v>
      </c>
      <c r="E41" s="141">
        <f>'Begr.-Rechner BIO'!E42</f>
        <v>0</v>
      </c>
      <c r="F41" s="65">
        <f t="shared" si="4"/>
        <v>0</v>
      </c>
      <c r="G41" s="66">
        <f t="shared" si="5"/>
        <v>0</v>
      </c>
      <c r="H41" s="61">
        <f t="shared" si="6"/>
        <v>0</v>
      </c>
      <c r="I41" t="str">
        <f>VLOOKUP(A41,'Begr.-Rechner BIO'!$A$4:$I$58,9,0)</f>
        <v>Leguminose</v>
      </c>
      <c r="M41" t="s">
        <v>224</v>
      </c>
      <c r="N41" t="s">
        <v>333</v>
      </c>
      <c r="O41" t="str">
        <f t="shared" si="7"/>
        <v/>
      </c>
      <c r="P41" t="str">
        <f t="array" ref="P41">IFERROR(INDEX($O$3:$O$57,MATCH(0,COUNTIF(P$2:$P40,$O$3:$O$57),0)),"")</f>
        <v/>
      </c>
      <c r="Q41" t="str">
        <f t="shared" si="12"/>
        <v>nein</v>
      </c>
      <c r="R41" t="s">
        <v>747</v>
      </c>
      <c r="S41" t="str">
        <f t="shared" si="8"/>
        <v/>
      </c>
      <c r="T41" s="173" t="str">
        <f t="array" ref="T41">IFERROR(INDEX($S$3:$S$57,MATCH(0,COUNTIF(T$2:$T40,$S$3:$S$57),0)),"")</f>
        <v/>
      </c>
      <c r="U41" t="str">
        <f t="shared" si="9"/>
        <v/>
      </c>
      <c r="V41" s="173" t="str">
        <f t="array" ref="V41">IFERROR(INDEX($U$3:$U$65,MATCH(0,COUNTIF(V$2:$V40,$U$3:$U$65),0)),"")</f>
        <v/>
      </c>
    </row>
    <row r="42" spans="1:22" ht="21.75" customHeight="1" thickBot="1" x14ac:dyDescent="0.25">
      <c r="A42" s="171" t="s">
        <v>679</v>
      </c>
      <c r="B42" s="55">
        <f>'Begr.-Rechner BIO'!$B43</f>
        <v>3.74</v>
      </c>
      <c r="C42" s="64">
        <f>'Begr.-Rechner BIO'!C43</f>
        <v>25</v>
      </c>
      <c r="D42" s="16">
        <f t="shared" si="3"/>
        <v>93.5</v>
      </c>
      <c r="E42" s="141">
        <f>'Begr.-Rechner BIO'!E43</f>
        <v>0</v>
      </c>
      <c r="F42" s="65">
        <f t="shared" si="4"/>
        <v>0</v>
      </c>
      <c r="G42" s="66">
        <f t="shared" si="5"/>
        <v>0</v>
      </c>
      <c r="H42" s="61">
        <f t="shared" si="6"/>
        <v>0</v>
      </c>
      <c r="I42" t="str">
        <f>VLOOKUP(A42,'Begr.-Rechner BIO'!$A$4:$I$58,9,0)</f>
        <v>Gräser</v>
      </c>
      <c r="M42" t="s">
        <v>224</v>
      </c>
      <c r="N42" t="s">
        <v>224</v>
      </c>
      <c r="O42" t="str">
        <f t="shared" si="7"/>
        <v/>
      </c>
      <c r="P42" t="str">
        <f t="array" ref="P42">IFERROR(INDEX($O$3:$O$57,MATCH(0,COUNTIF(P$2:$P41,$O$3:$O$57),0)),"")</f>
        <v/>
      </c>
      <c r="Q42" t="str">
        <f t="shared" si="12"/>
        <v>nein</v>
      </c>
      <c r="R42" t="s">
        <v>37</v>
      </c>
      <c r="S42" t="str">
        <f t="shared" si="8"/>
        <v/>
      </c>
      <c r="T42" s="173" t="str">
        <f t="array" ref="T42">IFERROR(INDEX($S$3:$S$57,MATCH(0,COUNTIF(T$2:$T41,$S$3:$S$57),0)),"")</f>
        <v/>
      </c>
      <c r="U42" t="str">
        <f t="shared" si="9"/>
        <v/>
      </c>
      <c r="V42" s="173" t="str">
        <f t="array" ref="V42">IFERROR(INDEX($U$3:$U$65,MATCH(0,COUNTIF(V$2:$V41,$U$3:$U$65),0)),"")</f>
        <v/>
      </c>
    </row>
    <row r="43" spans="1:22" ht="21.75" customHeight="1" thickBot="1" x14ac:dyDescent="0.25">
      <c r="A43" s="171" t="s">
        <v>516</v>
      </c>
      <c r="B43" s="55">
        <f>'Begr.-Rechner BIO'!$B44</f>
        <v>3.1550000000000002</v>
      </c>
      <c r="C43" s="64">
        <f>'Begr.-Rechner BIO'!C44</f>
        <v>25</v>
      </c>
      <c r="D43" s="16">
        <f t="shared" si="3"/>
        <v>78.875</v>
      </c>
      <c r="E43" s="141">
        <f>'Begr.-Rechner BIO'!E44</f>
        <v>0</v>
      </c>
      <c r="F43" s="65">
        <f t="shared" si="4"/>
        <v>0</v>
      </c>
      <c r="G43" s="66">
        <f t="shared" si="5"/>
        <v>0</v>
      </c>
      <c r="H43" s="61">
        <f t="shared" si="6"/>
        <v>0</v>
      </c>
      <c r="I43" t="str">
        <f>VLOOKUP(A43,'Begr.-Rechner BIO'!$A$4:$I$58,9,0)</f>
        <v>Gräser</v>
      </c>
      <c r="M43" t="s">
        <v>224</v>
      </c>
      <c r="N43" t="s">
        <v>224</v>
      </c>
      <c r="O43" t="str">
        <f t="shared" si="7"/>
        <v/>
      </c>
      <c r="P43" t="str">
        <f t="array" ref="P43">IFERROR(INDEX($O$3:$O$57,MATCH(0,COUNTIF(P$2:$P42,$O$3:$O$57),0)),"")</f>
        <v/>
      </c>
      <c r="Q43" t="str">
        <f t="shared" si="12"/>
        <v>nein</v>
      </c>
      <c r="R43" t="s">
        <v>37</v>
      </c>
      <c r="S43" t="str">
        <f t="shared" si="8"/>
        <v/>
      </c>
      <c r="T43" s="173" t="str">
        <f t="array" ref="T43">IFERROR(INDEX($S$3:$S$57,MATCH(0,COUNTIF(T$2:$T42,$S$3:$S$57),0)),"")</f>
        <v/>
      </c>
      <c r="U43" t="str">
        <f t="shared" si="9"/>
        <v/>
      </c>
      <c r="V43" s="173" t="str">
        <f t="array" ref="V43">IFERROR(INDEX($U$3:$U$65,MATCH(0,COUNTIF(V$2:$V42,$U$3:$U$65),0)),"")</f>
        <v/>
      </c>
    </row>
    <row r="44" spans="1:22" ht="21.75" customHeight="1" thickBot="1" x14ac:dyDescent="0.25">
      <c r="A44" s="171" t="s">
        <v>680</v>
      </c>
      <c r="B44" s="55">
        <f>'Begr.-Rechner BIO'!$B45</f>
        <v>16.940000000000001</v>
      </c>
      <c r="C44" s="64">
        <f>'Begr.-Rechner BIO'!C45</f>
        <v>12</v>
      </c>
      <c r="D44" s="16">
        <f t="shared" si="3"/>
        <v>203.28000000000003</v>
      </c>
      <c r="E44" s="141">
        <f>'Begr.-Rechner BIO'!E45</f>
        <v>0</v>
      </c>
      <c r="F44" s="65">
        <f t="shared" si="4"/>
        <v>0</v>
      </c>
      <c r="G44" s="66">
        <f t="shared" si="5"/>
        <v>0</v>
      </c>
      <c r="H44" s="61">
        <f t="shared" si="6"/>
        <v>0</v>
      </c>
      <c r="I44" t="str">
        <f>VLOOKUP(A44,'Begr.-Rechner BIO'!$A$4:$I$58,9,0)</f>
        <v>Leguminose</v>
      </c>
      <c r="M44" t="s">
        <v>224</v>
      </c>
      <c r="N44" t="s">
        <v>333</v>
      </c>
      <c r="O44" t="str">
        <f t="shared" si="7"/>
        <v/>
      </c>
      <c r="P44" t="str">
        <f t="array" ref="P44">IFERROR(INDEX($O$3:$O$57,MATCH(0,COUNTIF(P$2:$P43,$O$3:$O$57),0)),"")</f>
        <v/>
      </c>
      <c r="Q44" t="str">
        <f t="shared" si="12"/>
        <v>nein</v>
      </c>
      <c r="R44" t="s">
        <v>38</v>
      </c>
      <c r="S44" t="str">
        <f t="shared" si="8"/>
        <v/>
      </c>
      <c r="T44" s="173" t="str">
        <f t="array" ref="T44">IFERROR(INDEX($S$3:$S$57,MATCH(0,COUNTIF(T$2:$T43,$S$3:$S$57),0)),"")</f>
        <v/>
      </c>
      <c r="U44" t="str">
        <f t="shared" si="9"/>
        <v/>
      </c>
      <c r="V44" s="173" t="str">
        <f t="array" ref="V44">IFERROR(INDEX($U$3:$U$65,MATCH(0,COUNTIF(V$2:$V43,$U$3:$U$65),0)),"")</f>
        <v/>
      </c>
    </row>
    <row r="45" spans="1:22" ht="21.75" customHeight="1" thickBot="1" x14ac:dyDescent="0.25">
      <c r="A45" s="171" t="s">
        <v>681</v>
      </c>
      <c r="B45" s="55">
        <f>'Begr.-Rechner BIO'!$B46</f>
        <v>2.5299999999999998</v>
      </c>
      <c r="C45" s="64">
        <f>'Begr.-Rechner BIO'!C46</f>
        <v>130</v>
      </c>
      <c r="D45" s="16">
        <f t="shared" si="3"/>
        <v>328.9</v>
      </c>
      <c r="E45" s="141">
        <f>'Begr.-Rechner BIO'!E46</f>
        <v>0</v>
      </c>
      <c r="F45" s="65">
        <f t="shared" si="4"/>
        <v>0</v>
      </c>
      <c r="G45" s="66">
        <f t="shared" si="5"/>
        <v>0</v>
      </c>
      <c r="H45" s="61">
        <f t="shared" si="6"/>
        <v>0</v>
      </c>
      <c r="I45" t="str">
        <f>VLOOKUP(A45,'Begr.-Rechner BIO'!$A$4:$I$58,9,0)</f>
        <v>Leguminose</v>
      </c>
      <c r="M45" t="s">
        <v>333</v>
      </c>
      <c r="N45" t="s">
        <v>333</v>
      </c>
      <c r="O45" t="str">
        <f t="shared" si="7"/>
        <v/>
      </c>
      <c r="P45" t="str">
        <f t="array" ref="P45">IFERROR(INDEX($O$3:$O$57,MATCH(0,COUNTIF(P$2:$P44,$O$3:$O$57),0)),"")</f>
        <v/>
      </c>
      <c r="Q45" t="str">
        <f t="shared" si="12"/>
        <v>nein</v>
      </c>
      <c r="R45" t="s">
        <v>734</v>
      </c>
      <c r="S45" t="str">
        <f t="shared" si="8"/>
        <v/>
      </c>
      <c r="T45" s="173" t="str">
        <f t="array" ref="T45">IFERROR(INDEX($S$3:$S$57,MATCH(0,COUNTIF(T$2:$T44,$S$3:$S$57),0)),"")</f>
        <v/>
      </c>
      <c r="U45" t="str">
        <f t="shared" si="9"/>
        <v/>
      </c>
      <c r="V45" s="173" t="str">
        <f t="array" ref="V45">IFERROR(INDEX($U$3:$U$65,MATCH(0,COUNTIF(V$2:$V44,$U$3:$U$65),0)),"")</f>
        <v/>
      </c>
    </row>
    <row r="46" spans="1:22" ht="21.75" customHeight="1" thickBot="1" x14ac:dyDescent="0.25">
      <c r="A46" s="171" t="s">
        <v>517</v>
      </c>
      <c r="B46" s="55">
        <f>'Begr.-Rechner BIO'!$B47</f>
        <v>3.1949999999999998</v>
      </c>
      <c r="C46" s="64">
        <f>'Begr.-Rechner BIO'!C47</f>
        <v>15</v>
      </c>
      <c r="D46" s="16">
        <f t="shared" si="3"/>
        <v>47.924999999999997</v>
      </c>
      <c r="E46" s="141">
        <f>'Begr.-Rechner BIO'!E47</f>
        <v>0</v>
      </c>
      <c r="F46" s="65">
        <f t="shared" si="4"/>
        <v>0</v>
      </c>
      <c r="G46" s="66">
        <f t="shared" si="5"/>
        <v>0</v>
      </c>
      <c r="H46" s="61">
        <f t="shared" si="6"/>
        <v>0</v>
      </c>
      <c r="I46" t="str">
        <f>VLOOKUP(A46,'Begr.-Rechner BIO'!$A$4:$I$58,9,0)</f>
        <v>Kreuzblütler</v>
      </c>
      <c r="M46" t="s">
        <v>224</v>
      </c>
      <c r="N46" t="s">
        <v>333</v>
      </c>
      <c r="O46" t="str">
        <f t="shared" si="7"/>
        <v/>
      </c>
      <c r="P46" t="str">
        <f t="array" ref="P46">IFERROR(INDEX($O$3:$O$57,MATCH(0,COUNTIF(P$2:$P45,$O$3:$O$57),0)),"")</f>
        <v/>
      </c>
      <c r="Q46" t="str">
        <f t="shared" si="12"/>
        <v>nein</v>
      </c>
      <c r="R46" t="s">
        <v>739</v>
      </c>
      <c r="S46" t="str">
        <f t="shared" si="8"/>
        <v/>
      </c>
      <c r="T46" s="173" t="str">
        <f t="array" ref="T46">IFERROR(INDEX($S$3:$S$57,MATCH(0,COUNTIF(T$2:$T45,$S$3:$S$57),0)),"")</f>
        <v/>
      </c>
      <c r="U46" t="str">
        <f t="shared" si="9"/>
        <v/>
      </c>
      <c r="V46" s="173" t="str">
        <f t="array" ref="V46">IFERROR(INDEX($U$3:$U$65,MATCH(0,COUNTIF(V$2:$V45,$U$3:$U$65),0)),"")</f>
        <v/>
      </c>
    </row>
    <row r="47" spans="1:22" ht="21.75" customHeight="1" thickBot="1" x14ac:dyDescent="0.25">
      <c r="A47" s="171" t="s">
        <v>536</v>
      </c>
      <c r="B47" s="55">
        <f>'Begr.-Rechner BIO'!$B48</f>
        <v>3.75</v>
      </c>
      <c r="C47" s="64">
        <f>'Begr.-Rechner BIO'!C48</f>
        <v>15</v>
      </c>
      <c r="D47" s="16">
        <f t="shared" si="3"/>
        <v>56.25</v>
      </c>
      <c r="E47" s="141">
        <f>'Begr.-Rechner BIO'!E48</f>
        <v>0</v>
      </c>
      <c r="F47" s="65">
        <f t="shared" si="4"/>
        <v>0</v>
      </c>
      <c r="G47" s="66">
        <f t="shared" si="5"/>
        <v>0</v>
      </c>
      <c r="H47" s="61">
        <f t="shared" si="6"/>
        <v>0</v>
      </c>
      <c r="I47" t="str">
        <f>VLOOKUP(A47,'Begr.-Rechner BIO'!$A$4:$I$58,9,0)</f>
        <v>Kreuzblütler</v>
      </c>
      <c r="M47" t="s">
        <v>333</v>
      </c>
      <c r="N47" t="s">
        <v>333</v>
      </c>
      <c r="O47" t="str">
        <f t="shared" si="7"/>
        <v/>
      </c>
      <c r="P47" t="str">
        <f t="array" ref="P47">IFERROR(INDEX($O$3:$O$57,MATCH(0,COUNTIF(P$2:$P46,$O$3:$O$57),0)),"")</f>
        <v/>
      </c>
      <c r="Q47" t="str">
        <f t="shared" si="12"/>
        <v>nein</v>
      </c>
      <c r="R47" t="s">
        <v>740</v>
      </c>
      <c r="S47" t="str">
        <f t="shared" si="8"/>
        <v/>
      </c>
      <c r="T47" s="173" t="str">
        <f t="array" ref="T47">IFERROR(INDEX($S$3:$S$57,MATCH(0,COUNTIF(T$2:$T46,$S$3:$S$57),0)),"")</f>
        <v/>
      </c>
      <c r="U47" t="str">
        <f t="shared" si="9"/>
        <v/>
      </c>
      <c r="V47" s="173" t="str">
        <f t="array" ref="V47">IFERROR(INDEX($U$3:$U$65,MATCH(0,COUNTIF(V$2:$V46,$U$3:$U$65),0)),"")</f>
        <v/>
      </c>
    </row>
    <row r="48" spans="1:22" ht="21.75" customHeight="1" thickBot="1" x14ac:dyDescent="0.25">
      <c r="A48" s="171" t="s">
        <v>682</v>
      </c>
      <c r="B48" s="55">
        <f>'Begr.-Rechner BIO'!$B49</f>
        <v>2.9749999999999996</v>
      </c>
      <c r="C48" s="64">
        <f>'Begr.-Rechner BIO'!C49</f>
        <v>100</v>
      </c>
      <c r="D48" s="16">
        <f t="shared" si="3"/>
        <v>297.49999999999994</v>
      </c>
      <c r="E48" s="141">
        <f>'Begr.-Rechner BIO'!E49</f>
        <v>0</v>
      </c>
      <c r="F48" s="65">
        <f t="shared" si="4"/>
        <v>0</v>
      </c>
      <c r="G48" s="66">
        <f t="shared" si="5"/>
        <v>0</v>
      </c>
      <c r="H48" s="61">
        <f t="shared" si="6"/>
        <v>0</v>
      </c>
      <c r="I48" t="str">
        <f>VLOOKUP(A48,'Begr.-Rechner BIO'!$A$4:$I$58,9,0)</f>
        <v>Leguminose</v>
      </c>
      <c r="M48" t="s">
        <v>333</v>
      </c>
      <c r="N48" t="s">
        <v>333</v>
      </c>
      <c r="O48" t="str">
        <f t="shared" si="7"/>
        <v/>
      </c>
      <c r="P48" t="str">
        <f t="array" ref="P48">IFERROR(INDEX($O$3:$O$57,MATCH(0,COUNTIF(P$2:$P47,$O$3:$O$57),0)),"")</f>
        <v/>
      </c>
      <c r="Q48" t="str">
        <f t="shared" si="12"/>
        <v>nein</v>
      </c>
      <c r="R48" t="s">
        <v>737</v>
      </c>
      <c r="S48" t="str">
        <f t="shared" si="8"/>
        <v/>
      </c>
      <c r="T48" s="173" t="str">
        <f t="array" ref="T48">IFERROR(INDEX($S$3:$S$57,MATCH(0,COUNTIF(T$2:$T47,$S$3:$S$57),0)),"")</f>
        <v/>
      </c>
      <c r="U48" t="str">
        <f t="shared" si="9"/>
        <v/>
      </c>
      <c r="V48" s="173" t="str">
        <f t="array" ref="V48">IFERROR(INDEX($U$3:$U$65,MATCH(0,COUNTIF(V$2:$V47,$U$3:$U$65),0)),"")</f>
        <v/>
      </c>
    </row>
    <row r="49" spans="1:22" ht="21.75" customHeight="1" thickBot="1" x14ac:dyDescent="0.25">
      <c r="A49" s="171" t="s">
        <v>520</v>
      </c>
      <c r="B49" s="55">
        <f>'Begr.-Rechner BIO'!$B50</f>
        <v>26.01</v>
      </c>
      <c r="C49" s="64">
        <f>'Begr.-Rechner BIO'!C50</f>
        <v>15</v>
      </c>
      <c r="D49" s="16">
        <f t="shared" si="3"/>
        <v>390.15000000000003</v>
      </c>
      <c r="E49" s="141">
        <f>'Begr.-Rechner BIO'!E50</f>
        <v>0</v>
      </c>
      <c r="F49" s="65">
        <f t="shared" si="4"/>
        <v>0</v>
      </c>
      <c r="G49" s="66">
        <f t="shared" si="5"/>
        <v>0</v>
      </c>
      <c r="H49" s="61">
        <f t="shared" si="6"/>
        <v>0</v>
      </c>
      <c r="I49" t="str">
        <f>VLOOKUP(A49,'Begr.-Rechner BIO'!$A$4:$I$58,9,0)</f>
        <v>Korbblütler</v>
      </c>
      <c r="M49" t="s">
        <v>224</v>
      </c>
      <c r="N49" t="s">
        <v>333</v>
      </c>
      <c r="O49" t="str">
        <f t="shared" si="7"/>
        <v/>
      </c>
      <c r="P49" t="str">
        <f t="array" ref="P49">IFERROR(INDEX($O$3:$O$57,MATCH(0,COUNTIF(P$2:$P48,$O$3:$O$57),0)),"")</f>
        <v/>
      </c>
      <c r="Q49" t="str">
        <f t="shared" si="12"/>
        <v>nein</v>
      </c>
      <c r="R49" t="s">
        <v>385</v>
      </c>
      <c r="S49" t="str">
        <f t="shared" si="8"/>
        <v/>
      </c>
      <c r="T49" s="173" t="str">
        <f t="array" ref="T49">IFERROR(INDEX($S$3:$S$57,MATCH(0,COUNTIF(T$2:$T48,$S$3:$S$57),0)),"")</f>
        <v/>
      </c>
      <c r="U49" t="str">
        <f t="shared" si="9"/>
        <v/>
      </c>
      <c r="V49" s="173" t="str">
        <f t="array" ref="V49">IFERROR(INDEX($U$3:$U$65,MATCH(0,COUNTIF(V$2:$V48,$U$3:$U$65),0)),"")</f>
        <v/>
      </c>
    </row>
    <row r="50" spans="1:22" ht="21.75" customHeight="1" thickBot="1" x14ac:dyDescent="0.25">
      <c r="A50" s="171" t="s">
        <v>527</v>
      </c>
      <c r="B50" s="55">
        <f>'Begr.-Rechner BIO'!$B51</f>
        <v>5.83</v>
      </c>
      <c r="C50" s="64">
        <f>'Begr.-Rechner BIO'!C51</f>
        <v>15</v>
      </c>
      <c r="D50" s="16">
        <f t="shared" si="3"/>
        <v>87.45</v>
      </c>
      <c r="E50" s="141">
        <f>'Begr.-Rechner BIO'!E51</f>
        <v>0</v>
      </c>
      <c r="F50" s="65">
        <f t="shared" si="4"/>
        <v>0</v>
      </c>
      <c r="G50" s="66">
        <f t="shared" si="5"/>
        <v>0</v>
      </c>
      <c r="H50" s="61">
        <f t="shared" si="6"/>
        <v>0</v>
      </c>
      <c r="I50" t="str">
        <f>VLOOKUP(A50,'Begr.-Rechner BIO'!$A$4:$I$58,9,0)</f>
        <v>Gräser</v>
      </c>
      <c r="M50" t="s">
        <v>224</v>
      </c>
      <c r="N50" t="s">
        <v>224</v>
      </c>
      <c r="O50" t="str">
        <f t="shared" si="7"/>
        <v/>
      </c>
      <c r="P50" t="str">
        <f t="array" ref="P50">IFERROR(INDEX($O$3:$O$57,MATCH(0,COUNTIF(P$2:$P49,$O$3:$O$57),0)),"")</f>
        <v/>
      </c>
      <c r="Q50" t="str">
        <f t="shared" si="12"/>
        <v>nein</v>
      </c>
      <c r="R50" t="s">
        <v>386</v>
      </c>
      <c r="S50" t="str">
        <f t="shared" si="8"/>
        <v/>
      </c>
      <c r="T50" s="173" t="str">
        <f t="array" ref="T50">IFERROR(INDEX($S$3:$S$57,MATCH(0,COUNTIF(T$2:$T49,$S$3:$S$57),0)),"")</f>
        <v/>
      </c>
      <c r="U50" t="str">
        <f t="shared" si="9"/>
        <v/>
      </c>
      <c r="V50" s="173" t="str">
        <f t="array" ref="V50">IFERROR(INDEX($U$3:$U$65,MATCH(0,COUNTIF(V$2:$V49,$U$3:$U$65),0)),"")</f>
        <v/>
      </c>
    </row>
    <row r="51" spans="1:22" ht="21.75" customHeight="1" thickBot="1" x14ac:dyDescent="0.25">
      <c r="A51" s="199" t="str">
        <f>'Begr.-Rechner BIO'!$A52</f>
        <v>eigene Kultur 1</v>
      </c>
      <c r="B51" s="55">
        <f>'Begr.-Rechner BIO'!$B52</f>
        <v>0</v>
      </c>
      <c r="C51" s="64">
        <f>'Begr.-Rechner BIO'!C52</f>
        <v>0</v>
      </c>
      <c r="D51" s="16">
        <f t="shared" ref="D51:D57" si="13">IF(ISERROR(C51*B51),0,C51*B51)</f>
        <v>0</v>
      </c>
      <c r="E51" s="141">
        <f>'Begr.-Rechner BIO'!E52</f>
        <v>0</v>
      </c>
      <c r="F51" s="65">
        <f t="shared" ref="F51:F57" si="14">IF(ISERROR(E51*B51),0,(E51*B51))</f>
        <v>0</v>
      </c>
      <c r="G51" s="66">
        <f t="shared" ref="G51:G57" si="15">IF(ISERROR(E51/C51),0,(E51/C51))</f>
        <v>0</v>
      </c>
      <c r="H51" s="61">
        <f t="shared" ref="H51:H57" si="16">IF(ISERROR($I$2*E51),0,($I$2*E51))</f>
        <v>0</v>
      </c>
      <c r="I51" s="200">
        <f>IF(AND('Begr.-Rechner BIO'!I52="",Q51="ja"),"keine Angabe",'Begr.-Rechner BIO'!I52)</f>
        <v>0</v>
      </c>
      <c r="M51" t="str">
        <f>IF('Begr.-Rechner BIO'!$N52="","nein",IF('Begr.-Rechner BIO'!$N52&lt;&gt;"","ja"))</f>
        <v>nein</v>
      </c>
      <c r="N51" s="163" t="str">
        <f>IF(AND(Q51="ja",'Begr.-Rechner BIO'!I52&lt;&gt;""),'Begr.-Rechner BIO'!L52,"")</f>
        <v/>
      </c>
      <c r="O51" t="str">
        <f t="shared" si="7"/>
        <v/>
      </c>
      <c r="P51" t="str">
        <f t="array" ref="P51">IFERROR(INDEX($O$3:$O$57,MATCH(0,COUNTIF(P$2:$P50,$O$3:$O$57),0)),"")</f>
        <v/>
      </c>
      <c r="Q51" t="str">
        <f t="shared" ref="Q51:Q57" si="17">IF(E51&gt;0,"ja","nein")</f>
        <v>nein</v>
      </c>
      <c r="R51" s="163" t="str">
        <f>IF('Begr.-Rechner BIO'!E52&lt;&gt;"",'Begr.-Rechner BIO'!A52,"")</f>
        <v/>
      </c>
      <c r="S51" t="str">
        <f t="shared" ref="S51:S57" si="18">IF(Q51="JA",R51,"")</f>
        <v/>
      </c>
      <c r="T51" s="173" t="str">
        <f t="array" ref="T51">IFERROR(INDEX($S$3:$S$57,MATCH(0,COUNTIF(T$2:$T50,$S$3:$S$57),0)),"")</f>
        <v/>
      </c>
      <c r="U51" t="str">
        <f t="shared" ref="U51:U57" si="19">IF(Q51="ja",I51,"")</f>
        <v/>
      </c>
      <c r="V51" s="173" t="str">
        <f t="array" ref="V51">IFERROR(INDEX($U$3:$U$65,MATCH(0,COUNTIF(V$2:$V50,$U$3:$U$65),0)),"")</f>
        <v/>
      </c>
    </row>
    <row r="52" spans="1:22" ht="21.75" customHeight="1" thickBot="1" x14ac:dyDescent="0.25">
      <c r="A52" s="199" t="str">
        <f>'Begr.-Rechner BIO'!$A53</f>
        <v>eigene Kultur 2</v>
      </c>
      <c r="B52" s="55">
        <f>'Begr.-Rechner BIO'!$B53</f>
        <v>0</v>
      </c>
      <c r="C52" s="64">
        <f>'Begr.-Rechner BIO'!C53</f>
        <v>0</v>
      </c>
      <c r="D52" s="16">
        <f t="shared" si="13"/>
        <v>0</v>
      </c>
      <c r="E52" s="141">
        <f>'Begr.-Rechner BIO'!E53</f>
        <v>0</v>
      </c>
      <c r="F52" s="65">
        <f t="shared" si="14"/>
        <v>0</v>
      </c>
      <c r="G52" s="66">
        <f t="shared" si="15"/>
        <v>0</v>
      </c>
      <c r="H52" s="61">
        <f t="shared" si="16"/>
        <v>0</v>
      </c>
      <c r="I52" s="200">
        <f>IF(AND('Begr.-Rechner BIO'!I53="",Q52="ja"),"keine Angabe",'Begr.-Rechner BIO'!I53)</f>
        <v>0</v>
      </c>
      <c r="M52" t="str">
        <f>IF('Begr.-Rechner BIO'!$N53="","nein",IF('Begr.-Rechner BIO'!$N53&lt;&gt;"","ja"))</f>
        <v>nein</v>
      </c>
      <c r="N52" s="163" t="str">
        <f>IF(AND(Q52="ja",'Begr.-Rechner BIO'!I53&lt;&gt;""),'Begr.-Rechner BIO'!L53,"")</f>
        <v/>
      </c>
      <c r="O52" t="str">
        <f t="shared" si="7"/>
        <v/>
      </c>
      <c r="P52" t="str">
        <f t="array" ref="P52">IFERROR(INDEX($O$3:$O$57,MATCH(0,COUNTIF(P$2:$P51,$O$3:$O$57),0)),"")</f>
        <v/>
      </c>
      <c r="Q52" t="str">
        <f t="shared" si="17"/>
        <v>nein</v>
      </c>
      <c r="R52" s="163" t="str">
        <f>IF('Begr.-Rechner BIO'!E53&lt;&gt;"",'Begr.-Rechner BIO'!A53,"")</f>
        <v/>
      </c>
      <c r="S52" t="str">
        <f t="shared" si="18"/>
        <v/>
      </c>
      <c r="T52" s="173" t="str">
        <f t="array" ref="T52">IFERROR(INDEX($S$3:$S$57,MATCH(0,COUNTIF(T$2:$T51,$S$3:$S$57),0)),"")</f>
        <v/>
      </c>
      <c r="U52" t="str">
        <f t="shared" si="19"/>
        <v/>
      </c>
      <c r="V52" s="173" t="str">
        <f t="array" ref="V52">IFERROR(INDEX($U$3:$U$65,MATCH(0,COUNTIF(V$2:$V51,$U$3:$U$65),0)),"")</f>
        <v/>
      </c>
    </row>
    <row r="53" spans="1:22" ht="21.75" customHeight="1" thickBot="1" x14ac:dyDescent="0.25">
      <c r="A53" s="199" t="str">
        <f>'Begr.-Rechner BIO'!$A54</f>
        <v>eigene Kultur 3</v>
      </c>
      <c r="B53" s="55">
        <f>'Begr.-Rechner BIO'!$B54</f>
        <v>0</v>
      </c>
      <c r="C53" s="64">
        <f>'Begr.-Rechner BIO'!C54</f>
        <v>0</v>
      </c>
      <c r="D53" s="16">
        <f t="shared" si="13"/>
        <v>0</v>
      </c>
      <c r="E53" s="141">
        <f>'Begr.-Rechner BIO'!E54</f>
        <v>0</v>
      </c>
      <c r="F53" s="65">
        <f t="shared" si="14"/>
        <v>0</v>
      </c>
      <c r="G53" s="66">
        <f t="shared" si="15"/>
        <v>0</v>
      </c>
      <c r="H53" s="61">
        <f t="shared" si="16"/>
        <v>0</v>
      </c>
      <c r="I53" s="200">
        <f>IF(AND('Begr.-Rechner BIO'!I54="",Q53="ja"),"keine Angabe",'Begr.-Rechner BIO'!I54)</f>
        <v>0</v>
      </c>
      <c r="M53" t="str">
        <f>IF('Begr.-Rechner BIO'!$N54="","nein",IF('Begr.-Rechner BIO'!$N54&lt;&gt;"","ja"))</f>
        <v>nein</v>
      </c>
      <c r="N53" s="163" t="str">
        <f>IF(AND(Q53="ja",'Begr.-Rechner BIO'!I54&lt;&gt;""),'Begr.-Rechner BIO'!L54,"")</f>
        <v/>
      </c>
      <c r="O53" t="str">
        <f t="shared" si="7"/>
        <v/>
      </c>
      <c r="P53" t="str">
        <f t="array" ref="P53">IFERROR(INDEX($O$3:$O$57,MATCH(0,COUNTIF(P$2:$P52,$O$3:$O$57),0)),"")</f>
        <v/>
      </c>
      <c r="Q53" t="str">
        <f t="shared" si="17"/>
        <v>nein</v>
      </c>
      <c r="R53" s="163" t="str">
        <f>IF('Begr.-Rechner BIO'!E54&lt;&gt;"",'Begr.-Rechner BIO'!A54,"")</f>
        <v/>
      </c>
      <c r="S53" t="str">
        <f t="shared" si="18"/>
        <v/>
      </c>
      <c r="T53" s="173" t="str">
        <f t="array" ref="T53">IFERROR(INDEX($S$3:$S$57,MATCH(0,COUNTIF(T$2:$T52,$S$3:$S$57),0)),"")</f>
        <v/>
      </c>
      <c r="U53" t="str">
        <f t="shared" si="19"/>
        <v/>
      </c>
      <c r="V53" s="173" t="str">
        <f t="array" ref="V53">IFERROR(INDEX($U$3:$U$65,MATCH(0,COUNTIF(V$2:$V52,$U$3:$U$65),0)),"")</f>
        <v/>
      </c>
    </row>
    <row r="54" spans="1:22" ht="21.75" customHeight="1" thickBot="1" x14ac:dyDescent="0.25">
      <c r="A54" s="199" t="str">
        <f>'Begr.-Rechner BIO'!$A55</f>
        <v>eigene Kultur 4</v>
      </c>
      <c r="B54" s="55">
        <f>'Begr.-Rechner BIO'!$B55</f>
        <v>0</v>
      </c>
      <c r="C54" s="64">
        <f>'Begr.-Rechner BIO'!C55</f>
        <v>0</v>
      </c>
      <c r="D54" s="16">
        <f t="shared" si="13"/>
        <v>0</v>
      </c>
      <c r="E54" s="141">
        <f>'Begr.-Rechner BIO'!E55</f>
        <v>0</v>
      </c>
      <c r="F54" s="65">
        <f t="shared" si="14"/>
        <v>0</v>
      </c>
      <c r="G54" s="66">
        <f t="shared" si="15"/>
        <v>0</v>
      </c>
      <c r="H54" s="61">
        <f t="shared" si="16"/>
        <v>0</v>
      </c>
      <c r="I54" s="200">
        <f>IF(AND('Begr.-Rechner BIO'!I55="",Q54="ja"),"keine Angabe",'Begr.-Rechner BIO'!I55)</f>
        <v>0</v>
      </c>
      <c r="M54" t="str">
        <f>IF('Begr.-Rechner BIO'!$N55="","nein",IF('Begr.-Rechner BIO'!$N55&lt;&gt;"","ja"))</f>
        <v>nein</v>
      </c>
      <c r="N54" s="163" t="str">
        <f>IF(AND(Q54="ja",'Begr.-Rechner BIO'!I55&lt;&gt;""),'Begr.-Rechner BIO'!L55,"")</f>
        <v/>
      </c>
      <c r="O54" t="str">
        <f t="shared" si="7"/>
        <v/>
      </c>
      <c r="P54" t="str">
        <f t="array" ref="P54">IFERROR(INDEX($O$3:$O$57,MATCH(0,COUNTIF(P$2:$P53,$O$3:$O$57),0)),"")</f>
        <v/>
      </c>
      <c r="Q54" t="str">
        <f t="shared" si="17"/>
        <v>nein</v>
      </c>
      <c r="R54" s="163" t="str">
        <f>IF('Begr.-Rechner BIO'!E55&lt;&gt;"",'Begr.-Rechner BIO'!A55,"")</f>
        <v/>
      </c>
      <c r="S54" t="str">
        <f t="shared" si="18"/>
        <v/>
      </c>
      <c r="T54" s="173" t="str">
        <f t="array" ref="T54">IFERROR(INDEX($S$3:$S$57,MATCH(0,COUNTIF(T$2:$T53,$S$3:$S$57),0)),"")</f>
        <v/>
      </c>
      <c r="U54" t="str">
        <f t="shared" si="19"/>
        <v/>
      </c>
      <c r="V54" s="173" t="str">
        <f t="array" ref="V54">IFERROR(INDEX($U$3:$U$65,MATCH(0,COUNTIF(V$2:$V53,$U$3:$U$65),0)),"")</f>
        <v/>
      </c>
    </row>
    <row r="55" spans="1:22" ht="21.75" customHeight="1" thickBot="1" x14ac:dyDescent="0.25">
      <c r="A55" s="199" t="str">
        <f>'Begr.-Rechner BIO'!$A56</f>
        <v>eigene Kultur 5</v>
      </c>
      <c r="B55" s="55">
        <f>'Begr.-Rechner BIO'!$B56</f>
        <v>0</v>
      </c>
      <c r="C55" s="64">
        <f>'Begr.-Rechner BIO'!C56</f>
        <v>0</v>
      </c>
      <c r="D55" s="16">
        <f t="shared" si="13"/>
        <v>0</v>
      </c>
      <c r="E55" s="141">
        <f>'Begr.-Rechner BIO'!E56</f>
        <v>0</v>
      </c>
      <c r="F55" s="65">
        <f t="shared" si="14"/>
        <v>0</v>
      </c>
      <c r="G55" s="66">
        <f t="shared" si="15"/>
        <v>0</v>
      </c>
      <c r="H55" s="61">
        <f t="shared" si="16"/>
        <v>0</v>
      </c>
      <c r="I55" s="200">
        <f>IF(AND('Begr.-Rechner BIO'!I56="",Q55="ja"),"keine Angabe",'Begr.-Rechner BIO'!I56)</f>
        <v>0</v>
      </c>
      <c r="M55" t="str">
        <f>IF('Begr.-Rechner BIO'!$N56="","nein",IF('Begr.-Rechner BIO'!$N56&lt;&gt;"","ja"))</f>
        <v>nein</v>
      </c>
      <c r="N55" s="163" t="str">
        <f>IF(AND(Q55="ja",'Begr.-Rechner BIO'!I56&lt;&gt;""),'Begr.-Rechner BIO'!L56,"")</f>
        <v/>
      </c>
      <c r="O55" t="str">
        <f t="shared" si="7"/>
        <v/>
      </c>
      <c r="P55" t="str">
        <f t="array" ref="P55">IFERROR(INDEX($O$3:$O$57,MATCH(0,COUNTIF(P$2:$P54,$O$3:$O$57),0)),"")</f>
        <v/>
      </c>
      <c r="Q55" t="str">
        <f t="shared" si="17"/>
        <v>nein</v>
      </c>
      <c r="R55" s="163" t="str">
        <f>IF('Begr.-Rechner BIO'!E56&lt;&gt;"",'Begr.-Rechner BIO'!A56,"")</f>
        <v/>
      </c>
      <c r="S55" t="str">
        <f t="shared" si="18"/>
        <v/>
      </c>
      <c r="T55" s="173" t="str">
        <f t="array" ref="T55">IFERROR(INDEX($S$3:$S$57,MATCH(0,COUNTIF(T$2:$T54,$S$3:$S$57),0)),"")</f>
        <v/>
      </c>
      <c r="U55" t="str">
        <f t="shared" si="19"/>
        <v/>
      </c>
      <c r="V55" s="173" t="str">
        <f t="array" ref="V55">IFERROR(INDEX($U$3:$U$65,MATCH(0,COUNTIF(V$2:$V54,$U$3:$U$65),0)),"")</f>
        <v/>
      </c>
    </row>
    <row r="56" spans="1:22" ht="21.75" customHeight="1" thickBot="1" x14ac:dyDescent="0.25">
      <c r="A56" s="199" t="str">
        <f>'Begr.-Rechner BIO'!$A57</f>
        <v>eigene Kultur 6</v>
      </c>
      <c r="B56" s="55">
        <f>'Begr.-Rechner BIO'!$B57</f>
        <v>0</v>
      </c>
      <c r="C56" s="64">
        <f>'Begr.-Rechner BIO'!C57</f>
        <v>0</v>
      </c>
      <c r="D56" s="16">
        <f t="shared" si="13"/>
        <v>0</v>
      </c>
      <c r="E56" s="141">
        <f>'Begr.-Rechner BIO'!E57</f>
        <v>0</v>
      </c>
      <c r="F56" s="65">
        <f t="shared" si="14"/>
        <v>0</v>
      </c>
      <c r="G56" s="66">
        <f t="shared" si="15"/>
        <v>0</v>
      </c>
      <c r="H56" s="61">
        <f t="shared" si="16"/>
        <v>0</v>
      </c>
      <c r="I56" s="200">
        <f>IF(AND('Begr.-Rechner BIO'!I57="",Q56="ja"),"keine Angabe",'Begr.-Rechner BIO'!I57)</f>
        <v>0</v>
      </c>
      <c r="M56" t="str">
        <f>IF('Begr.-Rechner BIO'!$N57="","nein",IF('Begr.-Rechner BIO'!$N57&lt;&gt;"","ja"))</f>
        <v>nein</v>
      </c>
      <c r="N56" s="163" t="str">
        <f>IF(AND(Q56="ja",'Begr.-Rechner BIO'!I57&lt;&gt;""),'Begr.-Rechner BIO'!L57,"")</f>
        <v/>
      </c>
      <c r="O56" t="str">
        <f t="shared" si="7"/>
        <v/>
      </c>
      <c r="P56" t="str">
        <f t="array" ref="P56">IFERROR(INDEX($O$3:$O$57,MATCH(0,COUNTIF(P$2:$P55,$O$3:$O$57),0)),"")</f>
        <v/>
      </c>
      <c r="Q56" t="str">
        <f t="shared" si="17"/>
        <v>nein</v>
      </c>
      <c r="R56" s="163" t="str">
        <f>IF('Begr.-Rechner BIO'!E57&lt;&gt;"",'Begr.-Rechner BIO'!A57,"")</f>
        <v/>
      </c>
      <c r="S56" t="str">
        <f t="shared" si="18"/>
        <v/>
      </c>
      <c r="T56" s="173" t="str">
        <f t="array" ref="T56">IFERROR(INDEX($S$3:$S$57,MATCH(0,COUNTIF(T$2:$T55,$S$3:$S$57),0)),"")</f>
        <v/>
      </c>
      <c r="U56" t="str">
        <f t="shared" si="19"/>
        <v/>
      </c>
      <c r="V56" s="173" t="str">
        <f t="array" ref="V56">IFERROR(INDEX($U$3:$U$65,MATCH(0,COUNTIF(V$2:$V55,$U$3:$U$65),0)),"")</f>
        <v/>
      </c>
    </row>
    <row r="57" spans="1:22" ht="21.75" customHeight="1" thickBot="1" x14ac:dyDescent="0.25">
      <c r="A57" s="199" t="str">
        <f>'Begr.-Rechner BIO'!$A58</f>
        <v>eigene Kultur 7</v>
      </c>
      <c r="B57" s="55">
        <f>'Begr.-Rechner BIO'!$B58</f>
        <v>0</v>
      </c>
      <c r="C57" s="64">
        <f>'Begr.-Rechner BIO'!C58</f>
        <v>0</v>
      </c>
      <c r="D57" s="16">
        <f t="shared" si="13"/>
        <v>0</v>
      </c>
      <c r="E57" s="141">
        <f>'Begr.-Rechner BIO'!E58</f>
        <v>0</v>
      </c>
      <c r="F57" s="65">
        <f t="shared" si="14"/>
        <v>0</v>
      </c>
      <c r="G57" s="66">
        <f t="shared" si="15"/>
        <v>0</v>
      </c>
      <c r="H57" s="61">
        <f t="shared" si="16"/>
        <v>0</v>
      </c>
      <c r="I57" s="200">
        <f>IF(AND('Begr.-Rechner BIO'!I58="",Q57="ja"),"keine Angabe",'Begr.-Rechner BIO'!I58)</f>
        <v>0</v>
      </c>
      <c r="M57" t="str">
        <f>IF('Begr.-Rechner BIO'!$N58="","nein",IF('Begr.-Rechner BIO'!$N58&lt;&gt;"","ja"))</f>
        <v>nein</v>
      </c>
      <c r="N57" s="163" t="str">
        <f>IF(AND(Q57="ja",'Begr.-Rechner BIO'!I58&lt;&gt;""),'Begr.-Rechner BIO'!L58,"")</f>
        <v/>
      </c>
      <c r="O57" t="str">
        <f t="shared" si="7"/>
        <v/>
      </c>
      <c r="P57" t="str">
        <f t="array" ref="P57">IFERROR(INDEX($O$3:$O$57,MATCH(0,COUNTIF(P$2:$P56,$O$3:$O$57),0)),"")</f>
        <v/>
      </c>
      <c r="Q57" t="str">
        <f t="shared" si="17"/>
        <v>nein</v>
      </c>
      <c r="R57" s="163" t="str">
        <f>IF('Begr.-Rechner BIO'!E58&lt;&gt;"",'Begr.-Rechner BIO'!A58,"")</f>
        <v/>
      </c>
      <c r="S57" t="str">
        <f t="shared" si="18"/>
        <v/>
      </c>
      <c r="T57" s="410" t="str">
        <f t="array" ref="T57">IFERROR(INDEX($S$3:$S$57,MATCH(0,COUNTIF(T$2:$T56,$S$3:$S$57),0)),"")</f>
        <v/>
      </c>
      <c r="U57" t="str">
        <f t="shared" si="19"/>
        <v/>
      </c>
      <c r="V57" s="410" t="str">
        <f t="array" ref="V57">IFERROR(INDEX($U$3:$U$65,MATCH(0,COUNTIF(V$2:$V56,$U$3:$U$65),0)),"")</f>
        <v/>
      </c>
    </row>
    <row r="58" spans="1:22" ht="21.75" customHeight="1" x14ac:dyDescent="0.25">
      <c r="T58" s="411"/>
      <c r="V58" s="411"/>
    </row>
    <row r="59" spans="1:22" ht="21.75" customHeight="1" x14ac:dyDescent="0.25"/>
    <row r="60" spans="1:22" ht="14.25" x14ac:dyDescent="0.2">
      <c r="B60"/>
    </row>
    <row r="61" spans="1:22" ht="14.25" customHeight="1" x14ac:dyDescent="0.2">
      <c r="A61" s="142"/>
      <c r="B61"/>
    </row>
    <row r="62" spans="1:22" ht="14.25" x14ac:dyDescent="0.2">
      <c r="A62" s="33"/>
      <c r="B62"/>
    </row>
    <row r="63" spans="1:22" ht="14.25" x14ac:dyDescent="0.2">
      <c r="A63" s="42"/>
      <c r="B63"/>
    </row>
    <row r="64" spans="1:22" ht="14.25" x14ac:dyDescent="0.2">
      <c r="A64" s="34"/>
      <c r="B64"/>
    </row>
    <row r="65" spans="2:2" ht="14.25" x14ac:dyDescent="0.2">
      <c r="B65"/>
    </row>
    <row r="66" spans="2:2" ht="14.25" x14ac:dyDescent="0.2">
      <c r="B66"/>
    </row>
    <row r="67" spans="2:2" ht="14.25" x14ac:dyDescent="0.2">
      <c r="B67"/>
    </row>
    <row r="68" spans="2:2" ht="14.25" x14ac:dyDescent="0.2">
      <c r="B68"/>
    </row>
    <row r="69" spans="2:2" ht="14.25" x14ac:dyDescent="0.2">
      <c r="B69"/>
    </row>
    <row r="70" spans="2:2" ht="14.25" x14ac:dyDescent="0.2">
      <c r="B70"/>
    </row>
    <row r="71" spans="2:2" ht="14.25" x14ac:dyDescent="0.2">
      <c r="B71"/>
    </row>
    <row r="72" spans="2:2" ht="14.25" x14ac:dyDescent="0.2">
      <c r="B72"/>
    </row>
    <row r="73" spans="2:2" ht="14.25" x14ac:dyDescent="0.2">
      <c r="B73"/>
    </row>
    <row r="74" spans="2:2" ht="14.25" x14ac:dyDescent="0.2">
      <c r="B74"/>
    </row>
    <row r="75" spans="2:2" ht="14.25" x14ac:dyDescent="0.2">
      <c r="B75"/>
    </row>
    <row r="76" spans="2:2" ht="14.25" x14ac:dyDescent="0.2">
      <c r="B76"/>
    </row>
    <row r="77" spans="2:2" ht="14.25" x14ac:dyDescent="0.2">
      <c r="B77"/>
    </row>
    <row r="78" spans="2:2" ht="14.25" x14ac:dyDescent="0.2">
      <c r="B78"/>
    </row>
    <row r="79" spans="2:2" ht="14.25" x14ac:dyDescent="0.2">
      <c r="B79"/>
    </row>
    <row r="80" spans="2:2" ht="14.25" x14ac:dyDescent="0.2">
      <c r="B80"/>
    </row>
    <row r="81" spans="2:2" ht="14.25" x14ac:dyDescent="0.2">
      <c r="B81"/>
    </row>
    <row r="82" spans="2:2" ht="14.25" x14ac:dyDescent="0.2">
      <c r="B82"/>
    </row>
    <row r="83" spans="2:2" ht="14.25" x14ac:dyDescent="0.2">
      <c r="B83"/>
    </row>
    <row r="84" spans="2:2" ht="14.25" x14ac:dyDescent="0.2">
      <c r="B84"/>
    </row>
    <row r="85" spans="2:2" ht="14.25" x14ac:dyDescent="0.2">
      <c r="B85"/>
    </row>
    <row r="86" spans="2:2" ht="14.25" x14ac:dyDescent="0.2">
      <c r="B86"/>
    </row>
    <row r="87" spans="2:2" ht="14.25" x14ac:dyDescent="0.2">
      <c r="B87"/>
    </row>
    <row r="88" spans="2:2" ht="14.25" x14ac:dyDescent="0.2">
      <c r="B88"/>
    </row>
    <row r="89" spans="2:2" ht="14.25" x14ac:dyDescent="0.2">
      <c r="B89"/>
    </row>
    <row r="90" spans="2:2" ht="14.25" x14ac:dyDescent="0.2">
      <c r="B90"/>
    </row>
    <row r="91" spans="2:2" ht="14.25" x14ac:dyDescent="0.2">
      <c r="B91"/>
    </row>
    <row r="92" spans="2:2" ht="14.25" x14ac:dyDescent="0.2">
      <c r="B92"/>
    </row>
    <row r="93" spans="2:2" ht="14.25" x14ac:dyDescent="0.2">
      <c r="B93"/>
    </row>
    <row r="94" spans="2:2" ht="14.25" x14ac:dyDescent="0.2">
      <c r="B94"/>
    </row>
    <row r="95" spans="2:2" ht="14.25" x14ac:dyDescent="0.2">
      <c r="B95"/>
    </row>
    <row r="96" spans="2:2" ht="14.25" x14ac:dyDescent="0.2">
      <c r="B96"/>
    </row>
    <row r="97" spans="2:2" ht="14.25" x14ac:dyDescent="0.2">
      <c r="B97"/>
    </row>
    <row r="98" spans="2:2" ht="14.25" x14ac:dyDescent="0.2">
      <c r="B98"/>
    </row>
    <row r="99" spans="2:2" ht="14.25" x14ac:dyDescent="0.2">
      <c r="B99"/>
    </row>
    <row r="100" spans="2:2" ht="14.25" x14ac:dyDescent="0.2">
      <c r="B100"/>
    </row>
    <row r="101" spans="2:2" ht="14.25" x14ac:dyDescent="0.2">
      <c r="B101"/>
    </row>
    <row r="102" spans="2:2" ht="14.25" x14ac:dyDescent="0.2">
      <c r="B102"/>
    </row>
    <row r="103" spans="2:2" ht="14.25" x14ac:dyDescent="0.2">
      <c r="B103"/>
    </row>
    <row r="104" spans="2:2" ht="14.25" x14ac:dyDescent="0.2">
      <c r="B104"/>
    </row>
    <row r="105" spans="2:2" ht="14.25" x14ac:dyDescent="0.2">
      <c r="B105"/>
    </row>
    <row r="106" spans="2:2" ht="14.25" x14ac:dyDescent="0.2">
      <c r="B106"/>
    </row>
    <row r="107" spans="2:2" ht="14.25" x14ac:dyDescent="0.2">
      <c r="B107"/>
    </row>
    <row r="108" spans="2:2" ht="14.25" x14ac:dyDescent="0.2">
      <c r="B108"/>
    </row>
    <row r="109" spans="2:2" ht="14.25" x14ac:dyDescent="0.2">
      <c r="B109"/>
    </row>
    <row r="110" spans="2:2" ht="14.25" x14ac:dyDescent="0.2">
      <c r="B110"/>
    </row>
    <row r="111" spans="2:2" ht="14.25" x14ac:dyDescent="0.2">
      <c r="B111"/>
    </row>
    <row r="112" spans="2:2" ht="14.25" x14ac:dyDescent="0.2">
      <c r="B112"/>
    </row>
    <row r="113" spans="2:2" ht="14.25" x14ac:dyDescent="0.2">
      <c r="B113"/>
    </row>
    <row r="114" spans="2:2" ht="14.25" x14ac:dyDescent="0.2">
      <c r="B114"/>
    </row>
    <row r="115" spans="2:2" ht="14.25" x14ac:dyDescent="0.2">
      <c r="B115"/>
    </row>
    <row r="116" spans="2:2" ht="14.25" x14ac:dyDescent="0.2">
      <c r="B116"/>
    </row>
    <row r="117" spans="2:2" ht="14.25" x14ac:dyDescent="0.2">
      <c r="B117"/>
    </row>
    <row r="118" spans="2:2" ht="14.25" x14ac:dyDescent="0.2">
      <c r="B118"/>
    </row>
    <row r="119" spans="2:2" ht="14.25" x14ac:dyDescent="0.2">
      <c r="B119"/>
    </row>
    <row r="120" spans="2:2" ht="14.25" x14ac:dyDescent="0.2">
      <c r="B120"/>
    </row>
    <row r="121" spans="2:2" ht="14.25" x14ac:dyDescent="0.2">
      <c r="B121"/>
    </row>
    <row r="122" spans="2:2" ht="14.25" x14ac:dyDescent="0.2">
      <c r="B122"/>
    </row>
    <row r="123" spans="2:2" ht="14.25" x14ac:dyDescent="0.2">
      <c r="B123"/>
    </row>
    <row r="124" spans="2:2" ht="14.25" x14ac:dyDescent="0.2">
      <c r="B124"/>
    </row>
    <row r="125" spans="2:2" ht="14.25" x14ac:dyDescent="0.2">
      <c r="B125"/>
    </row>
    <row r="126" spans="2:2" ht="14.25" x14ac:dyDescent="0.2">
      <c r="B126"/>
    </row>
    <row r="127" spans="2:2" ht="14.25" x14ac:dyDescent="0.2">
      <c r="B127"/>
    </row>
    <row r="128" spans="2:2" ht="14.25" x14ac:dyDescent="0.2">
      <c r="B128"/>
    </row>
    <row r="129" spans="2:2" ht="14.25" x14ac:dyDescent="0.2">
      <c r="B129"/>
    </row>
    <row r="130" spans="2:2" ht="14.25" x14ac:dyDescent="0.2">
      <c r="B130"/>
    </row>
    <row r="131" spans="2:2" ht="14.25" x14ac:dyDescent="0.2">
      <c r="B131"/>
    </row>
    <row r="132" spans="2:2" ht="14.25" x14ac:dyDescent="0.2">
      <c r="B132"/>
    </row>
    <row r="133" spans="2:2" ht="14.25" x14ac:dyDescent="0.2">
      <c r="B133"/>
    </row>
    <row r="134" spans="2:2" ht="14.25" x14ac:dyDescent="0.2">
      <c r="B134"/>
    </row>
    <row r="135" spans="2:2" ht="14.25" x14ac:dyDescent="0.2">
      <c r="B135"/>
    </row>
    <row r="136" spans="2:2" ht="14.25" x14ac:dyDescent="0.2">
      <c r="B136"/>
    </row>
    <row r="137" spans="2:2" ht="14.25" x14ac:dyDescent="0.2">
      <c r="B137"/>
    </row>
    <row r="138" spans="2:2" ht="14.25" x14ac:dyDescent="0.2">
      <c r="B138"/>
    </row>
    <row r="139" spans="2:2" ht="14.25" x14ac:dyDescent="0.2">
      <c r="B139"/>
    </row>
    <row r="140" spans="2:2" ht="14.25" x14ac:dyDescent="0.2">
      <c r="B140"/>
    </row>
    <row r="141" spans="2:2" ht="14.25" x14ac:dyDescent="0.2">
      <c r="B141"/>
    </row>
    <row r="142" spans="2:2" ht="14.25" x14ac:dyDescent="0.2">
      <c r="B142"/>
    </row>
    <row r="143" spans="2:2" ht="14.25" x14ac:dyDescent="0.2">
      <c r="B143"/>
    </row>
    <row r="144" spans="2:2" ht="14.25" x14ac:dyDescent="0.2">
      <c r="B144"/>
    </row>
    <row r="145" spans="2:2" ht="14.25" x14ac:dyDescent="0.2">
      <c r="B145"/>
    </row>
    <row r="146" spans="2:2" ht="14.25" x14ac:dyDescent="0.2">
      <c r="B146"/>
    </row>
    <row r="147" spans="2:2" ht="14.25" x14ac:dyDescent="0.2">
      <c r="B147"/>
    </row>
    <row r="148" spans="2:2" ht="14.25" x14ac:dyDescent="0.2">
      <c r="B148"/>
    </row>
    <row r="149" spans="2:2" ht="14.25" x14ac:dyDescent="0.2">
      <c r="B149"/>
    </row>
    <row r="150" spans="2:2" ht="14.25" x14ac:dyDescent="0.2">
      <c r="B150"/>
    </row>
    <row r="151" spans="2:2" ht="14.25" x14ac:dyDescent="0.2">
      <c r="B151"/>
    </row>
    <row r="152" spans="2:2" ht="14.25" x14ac:dyDescent="0.2">
      <c r="B152"/>
    </row>
    <row r="153" spans="2:2" ht="14.25" x14ac:dyDescent="0.2">
      <c r="B153"/>
    </row>
    <row r="154" spans="2:2" ht="14.25" x14ac:dyDescent="0.2">
      <c r="B154"/>
    </row>
    <row r="155" spans="2:2" ht="14.25" x14ac:dyDescent="0.2">
      <c r="B155"/>
    </row>
    <row r="156" spans="2:2" ht="14.25" x14ac:dyDescent="0.2">
      <c r="B156"/>
    </row>
    <row r="157" spans="2:2" ht="14.25" x14ac:dyDescent="0.2">
      <c r="B157"/>
    </row>
    <row r="158" spans="2:2" ht="14.25" x14ac:dyDescent="0.2">
      <c r="B158"/>
    </row>
    <row r="159" spans="2:2" ht="14.25" x14ac:dyDescent="0.2">
      <c r="B159"/>
    </row>
    <row r="160" spans="2:2" ht="14.25" x14ac:dyDescent="0.2">
      <c r="B160"/>
    </row>
    <row r="161" spans="2:2" ht="14.25" x14ac:dyDescent="0.2">
      <c r="B161"/>
    </row>
    <row r="162" spans="2:2" ht="14.25" x14ac:dyDescent="0.2">
      <c r="B162"/>
    </row>
    <row r="163" spans="2:2" ht="14.25" x14ac:dyDescent="0.2">
      <c r="B163"/>
    </row>
    <row r="164" spans="2:2" ht="14.25" x14ac:dyDescent="0.2">
      <c r="B164"/>
    </row>
    <row r="165" spans="2:2" ht="14.25" x14ac:dyDescent="0.2">
      <c r="B165"/>
    </row>
    <row r="166" spans="2:2" ht="14.25" x14ac:dyDescent="0.2">
      <c r="B166"/>
    </row>
    <row r="167" spans="2:2" ht="14.25" x14ac:dyDescent="0.2">
      <c r="B167"/>
    </row>
    <row r="168" spans="2:2" ht="14.25" x14ac:dyDescent="0.2">
      <c r="B168"/>
    </row>
    <row r="169" spans="2:2" ht="14.25" x14ac:dyDescent="0.2">
      <c r="B169"/>
    </row>
    <row r="170" spans="2:2" ht="14.25" x14ac:dyDescent="0.2">
      <c r="B170"/>
    </row>
    <row r="171" spans="2:2" ht="14.25" x14ac:dyDescent="0.2">
      <c r="B171"/>
    </row>
    <row r="172" spans="2:2" ht="14.25" x14ac:dyDescent="0.2">
      <c r="B172"/>
    </row>
    <row r="173" spans="2:2" ht="14.25" x14ac:dyDescent="0.2">
      <c r="B173"/>
    </row>
    <row r="174" spans="2:2" ht="14.25" x14ac:dyDescent="0.2">
      <c r="B174"/>
    </row>
    <row r="175" spans="2:2" ht="14.25" x14ac:dyDescent="0.2">
      <c r="B175"/>
    </row>
    <row r="176" spans="2:2" ht="14.25" x14ac:dyDescent="0.2">
      <c r="B176"/>
    </row>
    <row r="177" spans="2:2" ht="14.25" x14ac:dyDescent="0.2">
      <c r="B177"/>
    </row>
    <row r="178" spans="2:2" ht="14.25" x14ac:dyDescent="0.2">
      <c r="B178"/>
    </row>
    <row r="179" spans="2:2" ht="14.25" x14ac:dyDescent="0.2">
      <c r="B179"/>
    </row>
    <row r="180" spans="2:2" ht="14.25" x14ac:dyDescent="0.2">
      <c r="B180"/>
    </row>
    <row r="181" spans="2:2" ht="14.25" x14ac:dyDescent="0.2">
      <c r="B181"/>
    </row>
    <row r="182" spans="2:2" ht="14.25" x14ac:dyDescent="0.2">
      <c r="B182"/>
    </row>
    <row r="183" spans="2:2" ht="14.25" x14ac:dyDescent="0.2">
      <c r="B183"/>
    </row>
    <row r="184" spans="2:2" ht="14.25" x14ac:dyDescent="0.2">
      <c r="B184"/>
    </row>
    <row r="185" spans="2:2" ht="14.25" x14ac:dyDescent="0.2">
      <c r="B185"/>
    </row>
    <row r="186" spans="2:2" ht="14.25" x14ac:dyDescent="0.2">
      <c r="B186"/>
    </row>
    <row r="187" spans="2:2" ht="14.25" x14ac:dyDescent="0.2">
      <c r="B187"/>
    </row>
    <row r="188" spans="2:2" ht="14.25" x14ac:dyDescent="0.2">
      <c r="B188"/>
    </row>
    <row r="189" spans="2:2" ht="14.25" x14ac:dyDescent="0.2">
      <c r="B189"/>
    </row>
    <row r="190" spans="2:2" ht="14.25" x14ac:dyDescent="0.2">
      <c r="B190"/>
    </row>
    <row r="191" spans="2:2" ht="14.25" x14ac:dyDescent="0.2">
      <c r="B191"/>
    </row>
    <row r="192" spans="2:2" ht="14.25" x14ac:dyDescent="0.2">
      <c r="B192"/>
    </row>
    <row r="193" spans="2:2" ht="14.25" x14ac:dyDescent="0.2">
      <c r="B193"/>
    </row>
    <row r="194" spans="2:2" ht="14.25" x14ac:dyDescent="0.2">
      <c r="B194"/>
    </row>
    <row r="195" spans="2:2" ht="14.25" x14ac:dyDescent="0.2">
      <c r="B195"/>
    </row>
    <row r="196" spans="2:2" ht="14.25" x14ac:dyDescent="0.2">
      <c r="B196"/>
    </row>
    <row r="197" spans="2:2" ht="14.25" x14ac:dyDescent="0.2">
      <c r="B197"/>
    </row>
    <row r="198" spans="2:2" ht="14.25" x14ac:dyDescent="0.2">
      <c r="B198"/>
    </row>
    <row r="199" spans="2:2" ht="14.25" x14ac:dyDescent="0.2">
      <c r="B199"/>
    </row>
    <row r="200" spans="2:2" ht="14.25" x14ac:dyDescent="0.2">
      <c r="B200"/>
    </row>
    <row r="201" spans="2:2" ht="14.25" x14ac:dyDescent="0.2">
      <c r="B201"/>
    </row>
    <row r="202" spans="2:2" ht="14.25" x14ac:dyDescent="0.2">
      <c r="B202"/>
    </row>
    <row r="203" spans="2:2" ht="14.25" x14ac:dyDescent="0.2">
      <c r="B203"/>
    </row>
    <row r="204" spans="2:2" ht="14.25" x14ac:dyDescent="0.2">
      <c r="B204"/>
    </row>
    <row r="205" spans="2:2" ht="14.25" x14ac:dyDescent="0.2">
      <c r="B205"/>
    </row>
    <row r="206" spans="2:2" ht="14.25" x14ac:dyDescent="0.2">
      <c r="B206"/>
    </row>
    <row r="207" spans="2:2" ht="14.25" x14ac:dyDescent="0.2">
      <c r="B207"/>
    </row>
    <row r="208" spans="2:2" ht="14.25" x14ac:dyDescent="0.2">
      <c r="B208"/>
    </row>
    <row r="209" spans="2:2" ht="14.25" x14ac:dyDescent="0.2">
      <c r="B209"/>
    </row>
    <row r="210" spans="2:2" ht="14.25" x14ac:dyDescent="0.2">
      <c r="B210"/>
    </row>
    <row r="211" spans="2:2" ht="14.25" x14ac:dyDescent="0.2">
      <c r="B211"/>
    </row>
    <row r="212" spans="2:2" ht="14.25" x14ac:dyDescent="0.2">
      <c r="B212"/>
    </row>
    <row r="213" spans="2:2" ht="14.25" x14ac:dyDescent="0.2">
      <c r="B213"/>
    </row>
    <row r="214" spans="2:2" ht="14.25" x14ac:dyDescent="0.2">
      <c r="B214"/>
    </row>
    <row r="215" spans="2:2" ht="14.25" x14ac:dyDescent="0.2">
      <c r="B215"/>
    </row>
    <row r="216" spans="2:2" ht="14.25" x14ac:dyDescent="0.2">
      <c r="B216"/>
    </row>
    <row r="217" spans="2:2" ht="14.25" x14ac:dyDescent="0.2">
      <c r="B217"/>
    </row>
    <row r="218" spans="2:2" ht="14.25" x14ac:dyDescent="0.2">
      <c r="B218"/>
    </row>
    <row r="219" spans="2:2" ht="14.25" x14ac:dyDescent="0.2">
      <c r="B219"/>
    </row>
    <row r="220" spans="2:2" ht="14.25" x14ac:dyDescent="0.2">
      <c r="B220"/>
    </row>
    <row r="221" spans="2:2" ht="14.25" x14ac:dyDescent="0.2">
      <c r="B221"/>
    </row>
    <row r="222" spans="2:2" ht="14.25" x14ac:dyDescent="0.2">
      <c r="B222"/>
    </row>
    <row r="223" spans="2:2" ht="14.25" x14ac:dyDescent="0.2">
      <c r="B223"/>
    </row>
    <row r="224" spans="2:2" ht="14.25" x14ac:dyDescent="0.2">
      <c r="B224"/>
    </row>
    <row r="225" spans="2:2" ht="14.25" x14ac:dyDescent="0.2">
      <c r="B225"/>
    </row>
    <row r="226" spans="2:2" ht="14.25" x14ac:dyDescent="0.2">
      <c r="B226"/>
    </row>
    <row r="227" spans="2:2" ht="14.25" x14ac:dyDescent="0.2">
      <c r="B227"/>
    </row>
    <row r="228" spans="2:2" ht="14.25" x14ac:dyDescent="0.2">
      <c r="B228"/>
    </row>
    <row r="229" spans="2:2" ht="14.25" x14ac:dyDescent="0.2">
      <c r="B229"/>
    </row>
    <row r="230" spans="2:2" ht="14.25" x14ac:dyDescent="0.2">
      <c r="B230"/>
    </row>
    <row r="231" spans="2:2" ht="14.25" x14ac:dyDescent="0.2">
      <c r="B231"/>
    </row>
    <row r="232" spans="2:2" ht="14.25" x14ac:dyDescent="0.2">
      <c r="B232"/>
    </row>
    <row r="233" spans="2:2" ht="14.25" x14ac:dyDescent="0.2">
      <c r="B233"/>
    </row>
    <row r="234" spans="2:2" ht="14.25" x14ac:dyDescent="0.2">
      <c r="B234"/>
    </row>
    <row r="235" spans="2:2" ht="14.25" x14ac:dyDescent="0.2">
      <c r="B235"/>
    </row>
    <row r="236" spans="2:2" ht="14.25" x14ac:dyDescent="0.2">
      <c r="B236"/>
    </row>
    <row r="237" spans="2:2" ht="14.25" x14ac:dyDescent="0.2">
      <c r="B237"/>
    </row>
    <row r="238" spans="2:2" ht="14.25" x14ac:dyDescent="0.2">
      <c r="B238"/>
    </row>
    <row r="239" spans="2:2" ht="14.25" x14ac:dyDescent="0.2">
      <c r="B239"/>
    </row>
    <row r="240" spans="2:2" ht="14.25" x14ac:dyDescent="0.2">
      <c r="B240"/>
    </row>
    <row r="241" spans="2:2" ht="14.25" x14ac:dyDescent="0.2">
      <c r="B241"/>
    </row>
    <row r="242" spans="2:2" ht="14.25" x14ac:dyDescent="0.2">
      <c r="B242"/>
    </row>
    <row r="243" spans="2:2" ht="14.25" x14ac:dyDescent="0.2">
      <c r="B243"/>
    </row>
    <row r="244" spans="2:2" ht="14.25" x14ac:dyDescent="0.2">
      <c r="B244"/>
    </row>
    <row r="245" spans="2:2" ht="14.25" x14ac:dyDescent="0.2">
      <c r="B245"/>
    </row>
    <row r="246" spans="2:2" ht="14.25" x14ac:dyDescent="0.2">
      <c r="B246"/>
    </row>
    <row r="247" spans="2:2" ht="14.25" x14ac:dyDescent="0.2">
      <c r="B247"/>
    </row>
    <row r="248" spans="2:2" ht="14.25" x14ac:dyDescent="0.2">
      <c r="B248"/>
    </row>
    <row r="249" spans="2:2" ht="14.25" x14ac:dyDescent="0.2">
      <c r="B249"/>
    </row>
    <row r="250" spans="2:2" ht="14.25" x14ac:dyDescent="0.2">
      <c r="B250"/>
    </row>
    <row r="251" spans="2:2" ht="14.25" x14ac:dyDescent="0.2">
      <c r="B251"/>
    </row>
    <row r="252" spans="2:2" ht="14.25" x14ac:dyDescent="0.2">
      <c r="B252"/>
    </row>
    <row r="253" spans="2:2" ht="14.25" x14ac:dyDescent="0.2">
      <c r="B253"/>
    </row>
    <row r="254" spans="2:2" ht="14.25" x14ac:dyDescent="0.2">
      <c r="B254"/>
    </row>
    <row r="255" spans="2:2" ht="14.25" x14ac:dyDescent="0.2">
      <c r="B255"/>
    </row>
    <row r="256" spans="2:2" ht="14.25" x14ac:dyDescent="0.2">
      <c r="B256"/>
    </row>
    <row r="257" spans="2:2" ht="14.25" x14ac:dyDescent="0.2">
      <c r="B257"/>
    </row>
    <row r="258" spans="2:2" ht="14.25" x14ac:dyDescent="0.2">
      <c r="B258"/>
    </row>
    <row r="259" spans="2:2" ht="14.25" x14ac:dyDescent="0.2">
      <c r="B259"/>
    </row>
    <row r="260" spans="2:2" ht="14.25" x14ac:dyDescent="0.2">
      <c r="B260"/>
    </row>
    <row r="261" spans="2:2" ht="14.25" x14ac:dyDescent="0.2">
      <c r="B261"/>
    </row>
    <row r="262" spans="2:2" ht="14.25" x14ac:dyDescent="0.2">
      <c r="B262"/>
    </row>
    <row r="263" spans="2:2" ht="14.25" x14ac:dyDescent="0.2">
      <c r="B263"/>
    </row>
  </sheetData>
  <sheetProtection algorithmName="SHA-512" hashValue="cXSTVATFJlCOLtD2iONuGaeWdt4DnJt41W8l4qjatP/uzWxgpu2R1VkMFAlRHq9Wt+IA1mvLR/9Cj6WhD3cA4w==" saltValue="7NKS6d4ieLnA+VT0/J9nGw==" spinCount="100000" sheet="1" objects="1" scenarios="1"/>
  <mergeCells count="3">
    <mergeCell ref="E1:H1"/>
    <mergeCell ref="K3:L3"/>
    <mergeCell ref="K4:L4"/>
  </mergeCells>
  <conditionalFormatting sqref="I1:I2">
    <cfRule type="expression" dxfId="5" priority="1">
      <formula>$I$2=""</formula>
    </cfRule>
  </conditionalFormatting>
  <pageMargins left="0.7" right="0.7" top="0.78740157499999996" bottom="0.78740157499999996" header="0.3" footer="0.3"/>
  <pageSetup paperSize="9" scale="15" fitToHeight="3"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8</vt:i4>
      </vt:variant>
    </vt:vector>
  </HeadingPairs>
  <TitlesOfParts>
    <vt:vector size="20" baseType="lpstr">
      <vt:lpstr>Anleitung</vt:lpstr>
      <vt:lpstr>Begr.-Rechner int. Prod.</vt:lpstr>
      <vt:lpstr>Zusammenfassung int. Prod.</vt:lpstr>
      <vt:lpstr>Konventionell (2)</vt:lpstr>
      <vt:lpstr>Mischungen verfeinern</vt:lpstr>
      <vt:lpstr>Komp.Misch.</vt:lpstr>
      <vt:lpstr>Komp.Kosten</vt:lpstr>
      <vt:lpstr>Begr.-Rechner BIO</vt:lpstr>
      <vt:lpstr>BIO (2)</vt:lpstr>
      <vt:lpstr>Zusammenfassung BIO</vt:lpstr>
      <vt:lpstr>Begrünungsliste 2026</vt:lpstr>
      <vt:lpstr>Anbauzeitpunkte</vt:lpstr>
      <vt:lpstr>Anbauzeitpunkte!Druckbereich</vt:lpstr>
      <vt:lpstr>'Begr.-Rechner int. Prod.'!Druckbereich</vt:lpstr>
      <vt:lpstr>'Konventionell (2)'!Druckbereich</vt:lpstr>
      <vt:lpstr>'Mischungen verfeinern'!Druckbereich</vt:lpstr>
      <vt:lpstr>'Zusammenfassung BIO'!Druckbereich</vt:lpstr>
      <vt:lpstr>'Zusammenfassung int. Prod.'!Druckbereich</vt:lpstr>
      <vt:lpstr>'Konventionell (2)'!Einzelkulturen</vt:lpstr>
      <vt:lpstr>Einzelkulturen</vt:lpstr>
    </vt:vector>
  </TitlesOfParts>
  <Company>Landwirtschaftskammer OÖ</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Kriegner-Schramml Simon</dc:creator>
  <cp:lastModifiedBy>Kriegner-Schramml Simon</cp:lastModifiedBy>
  <cp:lastPrinted>2026-06-15T11:23:22Z</cp:lastPrinted>
  <dcterms:created xsi:type="dcterms:W3CDTF">2020-06-12T08:42:07Z</dcterms:created>
  <dcterms:modified xsi:type="dcterms:W3CDTF">2026-07-01T06:34:05Z</dcterms:modified>
</cp:coreProperties>
</file>