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45" windowWidth="15180" windowHeight="11640" activeTab="0"/>
  </bookViews>
  <sheets>
    <sheet name="Eingabe und Berechnung" sheetId="1" r:id="rId1"/>
    <sheet name="DB Maßeinheiten" sheetId="2" state="hidden" r:id="rId2"/>
    <sheet name="DB Baumarten" sheetId="3" state="hidden" r:id="rId3"/>
  </sheets>
  <definedNames>
    <definedName name="_xlnm.Print_Area" localSheetId="2">'DB Baumarten'!$A$1:$H$52</definedName>
    <definedName name="_xlnm.Print_Area" localSheetId="0">'Eingabe und Berechnung'!$A$1:$AP$32</definedName>
  </definedNames>
  <calcPr fullCalcOnLoad="1"/>
</workbook>
</file>

<file path=xl/comments1.xml><?xml version="1.0" encoding="utf-8"?>
<comments xmlns="http://schemas.openxmlformats.org/spreadsheetml/2006/main">
  <authors>
    <author>G_Kuneth</author>
  </authors>
  <commentList>
    <comment ref="AH18" authorId="0">
      <text>
        <r>
          <rPr>
            <b/>
            <sz val="14"/>
            <rFont val="Tahoma"/>
            <family val="2"/>
          </rPr>
          <t>Diese Maßeinheit muss ident sein mit der obersten Einheit  unter Punkt 3. 
(Zelle AG11)</t>
        </r>
      </text>
    </comment>
  </commentList>
</comments>
</file>

<file path=xl/comments2.xml><?xml version="1.0" encoding="utf-8"?>
<comments xmlns="http://schemas.openxmlformats.org/spreadsheetml/2006/main">
  <authors>
    <author>Arbeitszimmer</author>
  </authors>
  <commentList>
    <comment ref="B3" authorId="0">
      <text>
        <r>
          <rPr>
            <b/>
            <sz val="10"/>
            <rFont val="Tahoma"/>
            <family val="2"/>
          </rPr>
          <t>Fichte
Kiefer
Lärche</t>
        </r>
      </text>
    </comment>
    <comment ref="D3" authorId="0">
      <text>
        <r>
          <rPr>
            <b/>
            <sz val="10"/>
            <rFont val="Tahoma"/>
            <family val="2"/>
          </rPr>
          <t>BrH =   Brennholz
IH =      Industrieholz
MD 2 = Stärkeklasse 2a und 2 b
MD 3 = Stärkeklasse 3 a und 3b
MD 4
MD5</t>
        </r>
      </text>
    </comment>
  </commentList>
</comments>
</file>

<file path=xl/comments3.xml><?xml version="1.0" encoding="utf-8"?>
<comments xmlns="http://schemas.openxmlformats.org/spreadsheetml/2006/main">
  <authors>
    <author>G_Kuneth</author>
  </authors>
  <commentList>
    <comment ref="G1" authorId="0">
      <text>
        <r>
          <rPr>
            <b/>
            <sz val="12"/>
            <rFont val="Tahoma"/>
            <family val="2"/>
          </rPr>
          <t>MJ/kg TS</t>
        </r>
      </text>
    </comment>
    <comment ref="Q8" authorId="0">
      <text>
        <r>
          <rPr>
            <b/>
            <sz val="12"/>
            <rFont val="Tahoma"/>
            <family val="2"/>
          </rPr>
          <t>MJ/kg TS</t>
        </r>
      </text>
    </comment>
    <comment ref="Q10" authorId="0">
      <text>
        <r>
          <rPr>
            <b/>
            <sz val="12"/>
            <rFont val="Tahoma"/>
            <family val="2"/>
          </rPr>
          <t>MJ/kg TS</t>
        </r>
      </text>
    </comment>
  </commentList>
</comments>
</file>

<file path=xl/sharedStrings.xml><?xml version="1.0" encoding="utf-8"?>
<sst xmlns="http://schemas.openxmlformats.org/spreadsheetml/2006/main" count="485" uniqueCount="218">
  <si>
    <t>FMO</t>
  </si>
  <si>
    <t>Fichte</t>
  </si>
  <si>
    <t>Kiefer</t>
  </si>
  <si>
    <t>FMM</t>
  </si>
  <si>
    <t>Baumart</t>
  </si>
  <si>
    <t>Ri-%</t>
  </si>
  <si>
    <t>Rindenprozent</t>
  </si>
  <si>
    <t>Lärche</t>
  </si>
  <si>
    <t>Klassifizierung</t>
  </si>
  <si>
    <t>MD 2</t>
  </si>
  <si>
    <t>MD 3</t>
  </si>
  <si>
    <t>MD 4</t>
  </si>
  <si>
    <t>MD 5</t>
  </si>
  <si>
    <t>Klasse</t>
  </si>
  <si>
    <t>FM</t>
  </si>
  <si>
    <t>Ahorn</t>
  </si>
  <si>
    <t>Aspe</t>
  </si>
  <si>
    <t>Birke</t>
  </si>
  <si>
    <t>Eiche</t>
  </si>
  <si>
    <t>Erle</t>
  </si>
  <si>
    <t>Esche</t>
  </si>
  <si>
    <t>Hainbuche</t>
  </si>
  <si>
    <t>Linde</t>
  </si>
  <si>
    <t>Pappel</t>
  </si>
  <si>
    <t>Rotbuche</t>
  </si>
  <si>
    <t>Weide</t>
  </si>
  <si>
    <t>Hartholz</t>
  </si>
  <si>
    <t>Weichholz</t>
  </si>
  <si>
    <t>kg/FMO</t>
  </si>
  <si>
    <t>AMM</t>
  </si>
  <si>
    <t>kg/FOO</t>
  </si>
  <si>
    <t>atro/FOO</t>
  </si>
  <si>
    <t>atro/FMO</t>
  </si>
  <si>
    <t>IH</t>
  </si>
  <si>
    <t>BrH</t>
  </si>
  <si>
    <t>Srm M</t>
  </si>
  <si>
    <t>Srm O</t>
  </si>
  <si>
    <t>Hacken</t>
  </si>
  <si>
    <t>Kosten nach Parität</t>
  </si>
  <si>
    <t>Anbot</t>
  </si>
  <si>
    <t>Anbot frei Werk</t>
  </si>
  <si>
    <t>Einheit</t>
  </si>
  <si>
    <t>Umr_Einheit</t>
  </si>
  <si>
    <t>Umr_Faktor</t>
  </si>
  <si>
    <t>Preis frei Werk</t>
  </si>
  <si>
    <t>D</t>
  </si>
  <si>
    <t>Euro je</t>
  </si>
  <si>
    <t>Kosten frei Werk</t>
  </si>
  <si>
    <t>Anbot frei Straße</t>
  </si>
  <si>
    <t>Soll-Preis frei Straße                                      (= Anbot frei Werk - Kosten)</t>
  </si>
  <si>
    <t>Soll-Preis frei Werk                                   (Anbot frei Straße + Kosten)</t>
  </si>
  <si>
    <t>IN</t>
  </si>
  <si>
    <t>VON</t>
  </si>
  <si>
    <t>Abfragen</t>
  </si>
  <si>
    <t>Transport ins Werk</t>
  </si>
  <si>
    <t>Kosten frei Waldstraße</t>
  </si>
  <si>
    <t>Kosten frei Straße</t>
  </si>
  <si>
    <t>Preis frei Straße</t>
  </si>
  <si>
    <t>Maßeinheit</t>
  </si>
  <si>
    <t>kg/FMO:</t>
  </si>
  <si>
    <t>kg/FOO:</t>
  </si>
  <si>
    <t>Kosten je Einheit für</t>
  </si>
  <si>
    <t>Umrechnungsfaktor</t>
  </si>
  <si>
    <t>entspricht</t>
  </si>
  <si>
    <t>Hartholz lt. ÖHU</t>
  </si>
  <si>
    <t>Weißbuche</t>
  </si>
  <si>
    <t>Ulme</t>
  </si>
  <si>
    <t>Robinie</t>
  </si>
  <si>
    <t>atro FOO</t>
  </si>
  <si>
    <t>Tanne</t>
  </si>
  <si>
    <t>Weißkiefer</t>
  </si>
  <si>
    <t>Umrechnung von Verrechnungsmaßen und Preisen für Industrieholz</t>
  </si>
  <si>
    <t>Umrechnung von Raummeter (rm) in Festmeter (fm) lt. ÖHU 2006</t>
  </si>
  <si>
    <t>Festmeter</t>
  </si>
  <si>
    <t>rm Scheitholz 1 m lang, geschichtet</t>
  </si>
  <si>
    <t>rm Stückholz ofenfertig, geschichtet</t>
  </si>
  <si>
    <t>rm Stückholz ofenfertig, geschüttet</t>
  </si>
  <si>
    <t>Srm Hackgut G 30 fein</t>
  </si>
  <si>
    <t>Srm Hackgut G 50 mittel</t>
  </si>
  <si>
    <t>Sägespäne, geschüttet</t>
  </si>
  <si>
    <t>Hobelspäne geschüttet</t>
  </si>
  <si>
    <t>Rinde geschüttet</t>
  </si>
  <si>
    <t>Umrechnung</t>
  </si>
  <si>
    <t>Ergebnis:</t>
  </si>
  <si>
    <t>Industrieholz</t>
  </si>
  <si>
    <t>Brennholz</t>
  </si>
  <si>
    <t>Industrieholz:</t>
  </si>
  <si>
    <t>Hackgut:</t>
  </si>
  <si>
    <t>Kosten frei Werk nach Verrechnungseinheiten</t>
  </si>
  <si>
    <t>RMO</t>
  </si>
  <si>
    <t>1 Srm =</t>
  </si>
  <si>
    <t>RMM</t>
  </si>
  <si>
    <t>Preis frei Werk (= Erlös frei Werk + Kosten frei Werk)</t>
  </si>
  <si>
    <t>Erlös und Kosten</t>
  </si>
  <si>
    <t>Umrechnungsfaktoren</t>
  </si>
  <si>
    <t>Variable aus Abfrage für:</t>
  </si>
  <si>
    <t>1 RM =</t>
  </si>
  <si>
    <t>Manipulation und Lagerung</t>
  </si>
  <si>
    <t xml:space="preserve">Baumart: </t>
  </si>
  <si>
    <t xml:space="preserve">Sortiment: </t>
  </si>
  <si>
    <t>frei Straße</t>
  </si>
  <si>
    <t>frei Werk</t>
  </si>
  <si>
    <t>Preis je</t>
  </si>
  <si>
    <t>Anbot je</t>
  </si>
  <si>
    <t>Manipulatíon und Lagerung</t>
  </si>
  <si>
    <t>4. Preise umrechnen und Anbote vergleichen</t>
  </si>
  <si>
    <t>5. Zusatzkosten je Maßeinheit für</t>
  </si>
  <si>
    <t>Raumfaktorermittlung</t>
  </si>
  <si>
    <t>Grundlage:</t>
  </si>
  <si>
    <t>Andrä F., Institut für Ertraglehre, BOKU Wien</t>
  </si>
  <si>
    <t>Media</t>
  </si>
  <si>
    <t>Längenstreuung</t>
  </si>
  <si>
    <t>m</t>
  </si>
  <si>
    <t>Anteil in %</t>
  </si>
  <si>
    <t>m * %</t>
  </si>
  <si>
    <t>m * % * m</t>
  </si>
  <si>
    <t>Geradheit</t>
  </si>
  <si>
    <t>RF =</t>
  </si>
  <si>
    <t>RF = 0,56301 + 0,00779 * M + 0,00123 * M * G - 0,00066 * L * CVl</t>
  </si>
  <si>
    <t>CVl = Längenstreuung in %</t>
  </si>
  <si>
    <t>Summen</t>
  </si>
  <si>
    <t>cm</t>
  </si>
  <si>
    <t>mittlere Länge L</t>
  </si>
  <si>
    <t>L</t>
  </si>
  <si>
    <t>sehr gerade</t>
  </si>
  <si>
    <t>normal</t>
  </si>
  <si>
    <t>krumm</t>
  </si>
  <si>
    <t>3</t>
  </si>
  <si>
    <t>je</t>
  </si>
  <si>
    <t>Abfrage Preisangaben</t>
  </si>
  <si>
    <t>fr. Werk</t>
  </si>
  <si>
    <t>fr. Str.</t>
  </si>
  <si>
    <t>Einh. 1</t>
  </si>
  <si>
    <t>Einh. 2</t>
  </si>
  <si>
    <t>Einh. 3</t>
  </si>
  <si>
    <t>H-Gehalt</t>
  </si>
  <si>
    <t>Weichholz lt. ÖHU</t>
  </si>
  <si>
    <t>Brennwert</t>
  </si>
  <si>
    <t>Schwindmaß</t>
  </si>
  <si>
    <t>w &lt; 23 %</t>
  </si>
  <si>
    <t>Heizwertberchnung</t>
  </si>
  <si>
    <t>-</t>
  </si>
  <si>
    <t>Abfrage für Heizwertberechnung</t>
  </si>
  <si>
    <t xml:space="preserve"> %</t>
  </si>
  <si>
    <t>je tonne</t>
  </si>
  <si>
    <t>MJ = 1kWh</t>
  </si>
  <si>
    <t>3. Maß- und Preisumrechnung</t>
  </si>
  <si>
    <t>2.a) Sortimentsauswahl</t>
  </si>
  <si>
    <t>UMRECHNUNG</t>
  </si>
  <si>
    <t>VERGLEICH                           Anbot</t>
  </si>
  <si>
    <t>Bestpreis je</t>
  </si>
  <si>
    <t>1. Baumartenwahl</t>
  </si>
  <si>
    <t>4. Preisangaben in Euro</t>
  </si>
  <si>
    <t>5. Kosten je Maßeinheit in Euro</t>
  </si>
  <si>
    <t>Rindenanteil:</t>
  </si>
  <si>
    <r>
      <t>Hu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 =</t>
    </r>
  </si>
  <si>
    <r>
      <t>Hu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</si>
  <si>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 xml:space="preserve">1. Wassergehalt = </t>
  </si>
  <si>
    <t>2. Baumart:</t>
  </si>
  <si>
    <t>Rindenprozente:</t>
  </si>
  <si>
    <t>lt. ÖHU 2006 (12-21)</t>
  </si>
  <si>
    <t>Mittel</t>
  </si>
  <si>
    <t>7. Heizwert- und Preisvergleich</t>
  </si>
  <si>
    <r>
      <t>6. Ergebnisübersicht:</t>
    </r>
    <r>
      <rPr>
        <b/>
        <sz val="12"/>
        <rFont val="Arial"/>
        <family val="2"/>
      </rPr>
      <t xml:space="preserve">  die angegebenen Preise und Kosten sind in nebenstehender Tabelle  für die Parität "frei Straße" und "frei Werk" ersichtlich.</t>
    </r>
  </si>
  <si>
    <t>6. ERGEBNISÜBERSICHT</t>
  </si>
  <si>
    <t>Hacken, Spalten etc.</t>
  </si>
  <si>
    <t xml:space="preserve">   Anbotvergleich in anderen Maßeinheiten u./od. Paritäten</t>
  </si>
  <si>
    <t>Die Berechnungsvorlage wurde nach bestem Wissen und Gewissen erstellt. Dennoch können Fehler nicht ausgeschlosssen werden. Der Autor übernimmt keinerlei Haftung.</t>
  </si>
  <si>
    <t>©  Landwirtschaftskammer Kärnten - Dipl..-Ing. Günther Kuneth                         Museumgasse 5,  9020 Klagenfurt</t>
  </si>
  <si>
    <t>Datenbank Umrechnungsfaktoren</t>
  </si>
  <si>
    <t>RM_1,0</t>
  </si>
  <si>
    <t>RM_0,35</t>
  </si>
  <si>
    <t>Srm_0,35</t>
  </si>
  <si>
    <t>4</t>
  </si>
  <si>
    <t>Dünnholz</t>
  </si>
  <si>
    <t>lang - Detail (2.b)</t>
  </si>
  <si>
    <t>kurz (bis 2 m)</t>
  </si>
  <si>
    <t>lang (3 - 6 m)</t>
  </si>
  <si>
    <t>Maßeinheiten</t>
  </si>
  <si>
    <t>je FMM</t>
  </si>
  <si>
    <t>Ausblenden Detail Raumfaktor-Berechnung</t>
  </si>
  <si>
    <t>0</t>
  </si>
  <si>
    <t>Deckungsbeitrag          frei Straße</t>
  </si>
  <si>
    <t>Deckungsbeitrag           frei Werk</t>
  </si>
  <si>
    <t>100</t>
  </si>
  <si>
    <t>6</t>
  </si>
  <si>
    <t>Preisumrechnung in</t>
  </si>
  <si>
    <t>AMM je FMM berechnet</t>
  </si>
  <si>
    <t>Umrechnungsfaktor für</t>
  </si>
  <si>
    <t>FMM je</t>
  </si>
  <si>
    <t>je to FS   =</t>
  </si>
  <si>
    <t>Rohdichte bei w &gt; 23 % in kg</t>
  </si>
  <si>
    <t xml:space="preserve">h2 = </t>
  </si>
  <si>
    <t>€/to FS Baumart 2</t>
  </si>
  <si>
    <t>€/to FS Baumart1</t>
  </si>
  <si>
    <t>Umrechnungsfaktor 2. Baumrt für</t>
  </si>
  <si>
    <t>Umrechnungsfaktor 1. Baumart  für</t>
  </si>
  <si>
    <t>1. Baumart aus Primärauswahl</t>
  </si>
  <si>
    <t xml:space="preserve">w2 in % = </t>
  </si>
  <si>
    <t xml:space="preserve">w 1 in % = </t>
  </si>
  <si>
    <t>Ho2 in MJ/kg =</t>
  </si>
  <si>
    <t>Ho 1 in MJ/kg  =</t>
  </si>
  <si>
    <t xml:space="preserve">Schwindmaß = </t>
  </si>
  <si>
    <t xml:space="preserve">Heizwert Hu1 in MJ/FMM = </t>
  </si>
  <si>
    <t>Rohdichte bei w &gt; 23 % in kg =</t>
  </si>
  <si>
    <t xml:space="preserve">kg/FOO = </t>
  </si>
  <si>
    <t>(lt. ÖHU 2006 Pkt. 12-21)</t>
  </si>
  <si>
    <t>(lt. ÖNORM B 3012)</t>
  </si>
  <si>
    <t xml:space="preserve">ausgewählte alternative Baumart: </t>
  </si>
  <si>
    <t>Manipulatíon, Lagerung</t>
  </si>
  <si>
    <t>Preise und Kosten in Euro je Einheit und Parität</t>
  </si>
  <si>
    <t>AMM je FMM ber.</t>
  </si>
  <si>
    <t>Baumart 2</t>
  </si>
  <si>
    <t>BA 1 = 1</t>
  </si>
  <si>
    <t xml:space="preserve">Hu 2/Hu1 = </t>
  </si>
  <si>
    <t>UMRECHNUNG und BERECHNUNG von Maßeinheiten, Holzpreisen und Heizwerten für INDUSTRIE- und ENERGIEHOLZ</t>
  </si>
  <si>
    <t>Vers. 1,0_2008</t>
  </si>
  <si>
    <t>14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</si>
</sst>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€&quot;\ #,##0.00"/>
    <numFmt numFmtId="180" formatCode="&quot;€&quot;\ #,##0.000"/>
    <numFmt numFmtId="181" formatCode="0.00000000"/>
  </numFmts>
  <fonts count="24">
    <font>
      <sz val="10"/>
      <name val="Arial"/>
      <family val="0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Arial"/>
      <family val="0"/>
    </font>
    <font>
      <vertAlign val="subscript"/>
      <sz val="10"/>
      <name val="Arial"/>
      <family val="2"/>
    </font>
    <font>
      <sz val="12"/>
      <name val="Arial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3"/>
      <color indexed="10"/>
      <name val="Arial"/>
      <family val="2"/>
    </font>
    <font>
      <b/>
      <sz val="13"/>
      <color indexed="17"/>
      <name val="Arial"/>
      <family val="2"/>
    </font>
    <font>
      <sz val="9"/>
      <name val="Arial"/>
      <family val="0"/>
    </font>
    <font>
      <b/>
      <sz val="15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51"/>
      </patternFill>
    </fill>
    <fill>
      <patternFill patternType="gray125">
        <fgColor indexed="53"/>
        <bgColor indexed="9"/>
      </patternFill>
    </fill>
    <fill>
      <patternFill patternType="gray125">
        <fgColor indexed="51"/>
        <bgColor indexed="50"/>
      </patternFill>
    </fill>
    <fill>
      <patternFill patternType="gray125">
        <fgColor indexed="53"/>
        <bgColor indexed="50"/>
      </patternFill>
    </fill>
    <fill>
      <patternFill patternType="gray125">
        <fgColor indexed="51"/>
        <bgColor indexed="9"/>
      </patternFill>
    </fill>
    <fill>
      <patternFill patternType="solid">
        <fgColor indexed="47"/>
        <bgColor indexed="64"/>
      </patternFill>
    </fill>
    <fill>
      <patternFill patternType="gray125">
        <fgColor indexed="50"/>
        <bgColor indexed="9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>
        <color indexed="17"/>
      </bottom>
    </border>
    <border>
      <left style="thin"/>
      <right style="thin"/>
      <top>
        <color indexed="63"/>
      </top>
      <bottom style="double">
        <color indexed="17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>
        <color indexed="17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>
        <color indexed="63"/>
      </left>
      <right style="thin"/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>
        <color indexed="1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7" fontId="0" fillId="2" borderId="0" xfId="0" applyNumberFormat="1" applyFill="1" applyAlignment="1" applyProtection="1">
      <alignment horizontal="center"/>
      <protection hidden="1"/>
    </xf>
    <xf numFmtId="177" fontId="0" fillId="0" borderId="0" xfId="0" applyNumberFormat="1" applyAlignment="1" applyProtection="1">
      <alignment horizontal="center"/>
      <protection hidden="1"/>
    </xf>
    <xf numFmtId="2" fontId="0" fillId="2" borderId="0" xfId="0" applyNumberFormat="1" applyFill="1" applyAlignment="1" applyProtection="1">
      <alignment/>
      <protection hidden="1"/>
    </xf>
    <xf numFmtId="2" fontId="0" fillId="2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178" fontId="0" fillId="3" borderId="0" xfId="0" applyNumberFormat="1" applyFill="1" applyBorder="1" applyAlignment="1" applyProtection="1">
      <alignment/>
      <protection hidden="1"/>
    </xf>
    <xf numFmtId="178" fontId="0" fillId="3" borderId="5" xfId="0" applyNumberFormat="1" applyFill="1" applyBorder="1" applyAlignment="1" applyProtection="1">
      <alignment/>
      <protection hidden="1"/>
    </xf>
    <xf numFmtId="0" fontId="0" fillId="0" borderId="6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7" xfId="0" applyFill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178" fontId="4" fillId="0" borderId="8" xfId="0" applyNumberFormat="1" applyFont="1" applyBorder="1" applyAlignment="1" applyProtection="1">
      <alignment/>
      <protection hidden="1"/>
    </xf>
    <xf numFmtId="178" fontId="4" fillId="0" borderId="9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2" fontId="0" fillId="0" borderId="8" xfId="0" applyNumberFormat="1" applyBorder="1" applyAlignment="1" applyProtection="1">
      <alignment/>
      <protection hidden="1"/>
    </xf>
    <xf numFmtId="2" fontId="0" fillId="0" borderId="9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2" fontId="0" fillId="4" borderId="0" xfId="0" applyNumberFormat="1" applyFill="1" applyBorder="1" applyAlignment="1" applyProtection="1">
      <alignment/>
      <protection hidden="1"/>
    </xf>
    <xf numFmtId="2" fontId="0" fillId="4" borderId="5" xfId="0" applyNumberFormat="1" applyFill="1" applyBorder="1" applyAlignment="1" applyProtection="1">
      <alignment/>
      <protection hidden="1"/>
    </xf>
    <xf numFmtId="2" fontId="0" fillId="2" borderId="0" xfId="0" applyNumberFormat="1" applyFill="1" applyBorder="1" applyAlignment="1" applyProtection="1">
      <alignment/>
      <protection hidden="1"/>
    </xf>
    <xf numFmtId="2" fontId="0" fillId="2" borderId="9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9" fontId="0" fillId="5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 horizontal="right"/>
      <protection hidden="1"/>
    </xf>
    <xf numFmtId="177" fontId="0" fillId="5" borderId="0" xfId="0" applyNumberForma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5" borderId="8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4" fillId="0" borderId="6" xfId="0" applyFont="1" applyBorder="1" applyAlignment="1" applyProtection="1">
      <alignment/>
      <protection hidden="1"/>
    </xf>
    <xf numFmtId="177" fontId="0" fillId="0" borderId="0" xfId="0" applyNumberForma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7" fontId="0" fillId="0" borderId="0" xfId="0" applyNumberFormat="1" applyFill="1" applyBorder="1" applyAlignment="1" applyProtection="1">
      <alignment/>
      <protection hidden="1"/>
    </xf>
    <xf numFmtId="177" fontId="0" fillId="0" borderId="8" xfId="0" applyNumberFormat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178" fontId="0" fillId="0" borderId="0" xfId="0" applyNumberFormat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178" fontId="0" fillId="0" borderId="4" xfId="0" applyNumberFormat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7" fillId="6" borderId="6" xfId="0" applyFont="1" applyFill="1" applyBorder="1" applyAlignment="1" applyProtection="1">
      <alignment horizontal="right"/>
      <protection hidden="1"/>
    </xf>
    <xf numFmtId="0" fontId="7" fillId="6" borderId="0" xfId="0" applyFont="1" applyFill="1" applyBorder="1" applyAlignment="1" applyProtection="1">
      <alignment/>
      <protection hidden="1"/>
    </xf>
    <xf numFmtId="0" fontId="8" fillId="6" borderId="0" xfId="0" applyFont="1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 locked="0"/>
    </xf>
    <xf numFmtId="0" fontId="0" fillId="6" borderId="3" xfId="0" applyFill="1" applyBorder="1" applyAlignment="1" applyProtection="1">
      <alignment/>
      <protection hidden="1"/>
    </xf>
    <xf numFmtId="0" fontId="0" fillId="6" borderId="2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8" fillId="6" borderId="7" xfId="0" applyFont="1" applyFill="1" applyBorder="1" applyAlignment="1" applyProtection="1">
      <alignment/>
      <protection hidden="1"/>
    </xf>
    <xf numFmtId="0" fontId="8" fillId="6" borderId="8" xfId="0" applyFont="1" applyFill="1" applyBorder="1" applyAlignment="1" applyProtection="1">
      <alignment horizontal="center"/>
      <protection hidden="1"/>
    </xf>
    <xf numFmtId="0" fontId="7" fillId="6" borderId="8" xfId="0" applyFont="1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6" borderId="1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right" vertical="center"/>
      <protection hidden="1"/>
    </xf>
    <xf numFmtId="0" fontId="7" fillId="6" borderId="11" xfId="0" applyFont="1" applyFill="1" applyBorder="1" applyAlignment="1" applyProtection="1">
      <alignment horizontal="left" vertical="center"/>
      <protection hidden="1"/>
    </xf>
    <xf numFmtId="0" fontId="0" fillId="6" borderId="0" xfId="0" applyFill="1" applyBorder="1" applyAlignment="1" applyProtection="1">
      <alignment horizontal="left"/>
      <protection hidden="1"/>
    </xf>
    <xf numFmtId="0" fontId="0" fillId="6" borderId="6" xfId="0" applyFill="1" applyBorder="1" applyAlignment="1" applyProtection="1">
      <alignment/>
      <protection hidden="1"/>
    </xf>
    <xf numFmtId="177" fontId="9" fillId="6" borderId="6" xfId="0" applyNumberFormat="1" applyFont="1" applyFill="1" applyBorder="1" applyAlignment="1" applyProtection="1">
      <alignment horizontal="right" vertical="center"/>
      <protection hidden="1"/>
    </xf>
    <xf numFmtId="0" fontId="0" fillId="6" borderId="0" xfId="0" applyFill="1" applyBorder="1" applyAlignment="1" applyProtection="1">
      <alignment horizontal="right" vertical="center"/>
      <protection hidden="1"/>
    </xf>
    <xf numFmtId="0" fontId="4" fillId="6" borderId="0" xfId="0" applyFont="1" applyFill="1" applyBorder="1" applyAlignment="1" applyProtection="1">
      <alignment/>
      <protection hidden="1"/>
    </xf>
    <xf numFmtId="0" fontId="8" fillId="6" borderId="5" xfId="0" applyFont="1" applyFill="1" applyBorder="1" applyAlignment="1" applyProtection="1">
      <alignment horizontal="right" indent="1"/>
      <protection hidden="1"/>
    </xf>
    <xf numFmtId="0" fontId="7" fillId="6" borderId="1" xfId="0" applyFont="1" applyFill="1" applyBorder="1" applyAlignment="1" applyProtection="1">
      <alignment horizontal="right" vertical="center"/>
      <protection hidden="1"/>
    </xf>
    <xf numFmtId="0" fontId="0" fillId="7" borderId="10" xfId="0" applyFill="1" applyBorder="1" applyAlignment="1" applyProtection="1">
      <alignment wrapText="1"/>
      <protection hidden="1"/>
    </xf>
    <xf numFmtId="0" fontId="0" fillId="7" borderId="4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 horizontal="right"/>
      <protection hidden="1"/>
    </xf>
    <xf numFmtId="0" fontId="8" fillId="6" borderId="0" xfId="0" applyFont="1" applyFill="1" applyBorder="1" applyAlignment="1" applyProtection="1">
      <alignment horizontal="right" inden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 applyBorder="1" applyAlignment="1" applyProtection="1">
      <alignment horizontal="right" vertical="center" inden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2" fontId="0" fillId="3" borderId="15" xfId="0" applyNumberFormat="1" applyFill="1" applyBorder="1" applyAlignment="1" applyProtection="1">
      <alignment horizontal="right" vertical="center" indent="1"/>
      <protection hidden="1"/>
    </xf>
    <xf numFmtId="2" fontId="9" fillId="3" borderId="13" xfId="0" applyNumberFormat="1" applyFont="1" applyFill="1" applyBorder="1" applyAlignment="1" applyProtection="1">
      <alignment horizontal="right" vertical="center" indent="1"/>
      <protection hidden="1" locked="0"/>
    </xf>
    <xf numFmtId="0" fontId="0" fillId="6" borderId="11" xfId="0" applyFill="1" applyBorder="1" applyAlignment="1" applyProtection="1">
      <alignment/>
      <protection hidden="1"/>
    </xf>
    <xf numFmtId="0" fontId="4" fillId="7" borderId="1" xfId="0" applyFont="1" applyFill="1" applyBorder="1" applyAlignment="1" applyProtection="1">
      <alignment horizontal="right"/>
      <protection hidden="1"/>
    </xf>
    <xf numFmtId="0" fontId="0" fillId="7" borderId="11" xfId="0" applyFill="1" applyBorder="1" applyAlignment="1" applyProtection="1">
      <alignment/>
      <protection hidden="1"/>
    </xf>
    <xf numFmtId="2" fontId="7" fillId="3" borderId="15" xfId="0" applyNumberFormat="1" applyFont="1" applyFill="1" applyBorder="1" applyAlignment="1" applyProtection="1">
      <alignment horizontal="right" vertical="center" indent="2"/>
      <protection hidden="1" locked="0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10" fillId="6" borderId="1" xfId="0" applyFont="1" applyFill="1" applyBorder="1" applyAlignment="1" applyProtection="1">
      <alignment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0" fontId="7" fillId="5" borderId="13" xfId="0" applyFont="1" applyFill="1" applyBorder="1" applyAlignment="1" applyProtection="1">
      <alignment horizontal="center" vertical="center"/>
      <protection hidden="1"/>
    </xf>
    <xf numFmtId="0" fontId="0" fillId="6" borderId="15" xfId="0" applyFill="1" applyBorder="1" applyAlignment="1" applyProtection="1">
      <alignment/>
      <protection hidden="1"/>
    </xf>
    <xf numFmtId="0" fontId="8" fillId="6" borderId="10" xfId="0" applyFont="1" applyFill="1" applyBorder="1" applyAlignment="1" applyProtection="1">
      <alignment vertical="center"/>
      <protection hidden="1"/>
    </xf>
    <xf numFmtId="0" fontId="4" fillId="8" borderId="2" xfId="0" applyFont="1" applyFill="1" applyBorder="1" applyAlignment="1" applyProtection="1">
      <alignment horizontal="right" vertical="center" wrapText="1" indent="1"/>
      <protection hidden="1"/>
    </xf>
    <xf numFmtId="0" fontId="0" fillId="2" borderId="0" xfId="0" applyFill="1" applyBorder="1" applyAlignment="1" applyProtection="1">
      <alignment/>
      <protection hidden="1" locked="0"/>
    </xf>
    <xf numFmtId="0" fontId="0" fillId="6" borderId="10" xfId="0" applyFill="1" applyBorder="1" applyAlignment="1" applyProtection="1">
      <alignment/>
      <protection hidden="1"/>
    </xf>
    <xf numFmtId="0" fontId="0" fillId="6" borderId="0" xfId="0" applyFill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right" vertical="center" wrapText="1" indent="1"/>
      <protection hidden="1"/>
    </xf>
    <xf numFmtId="0" fontId="0" fillId="2" borderId="12" xfId="0" applyFill="1" applyBorder="1" applyAlignment="1" applyProtection="1">
      <alignment horizontal="center"/>
      <protection hidden="1" locked="0"/>
    </xf>
    <xf numFmtId="1" fontId="0" fillId="2" borderId="12" xfId="0" applyNumberFormat="1" applyFill="1" applyBorder="1" applyAlignment="1" applyProtection="1">
      <alignment horizontal="center"/>
      <protection hidden="1" locked="0"/>
    </xf>
    <xf numFmtId="0" fontId="4" fillId="4" borderId="7" xfId="0" applyFont="1" applyFill="1" applyBorder="1" applyAlignment="1" applyProtection="1">
      <alignment horizontal="right" vertical="center" wrapText="1" indent="1"/>
      <protection hidden="1"/>
    </xf>
    <xf numFmtId="0" fontId="0" fillId="0" borderId="6" xfId="0" applyBorder="1" applyAlignment="1" applyProtection="1">
      <alignment vertical="center" wrapText="1"/>
      <protection hidden="1"/>
    </xf>
    <xf numFmtId="178" fontId="8" fillId="0" borderId="12" xfId="0" applyNumberFormat="1" applyFont="1" applyBorder="1" applyAlignment="1" applyProtection="1">
      <alignment horizontal="right" vertical="center" indent="1"/>
      <protection hidden="1"/>
    </xf>
    <xf numFmtId="178" fontId="8" fillId="0" borderId="0" xfId="0" applyNumberFormat="1" applyFont="1" applyBorder="1" applyAlignment="1" applyProtection="1">
      <alignment horizontal="right" vertical="center" indent="1"/>
      <protection hidden="1"/>
    </xf>
    <xf numFmtId="0" fontId="8" fillId="0" borderId="6" xfId="0" applyFont="1" applyBorder="1" applyAlignment="1" applyProtection="1">
      <alignment horizontal="right" vertical="center" indent="1"/>
      <protection hidden="1"/>
    </xf>
    <xf numFmtId="0" fontId="0" fillId="0" borderId="7" xfId="0" applyBorder="1" applyAlignment="1" applyProtection="1">
      <alignment vertical="center" wrapText="1"/>
      <protection hidden="1"/>
    </xf>
    <xf numFmtId="2" fontId="8" fillId="0" borderId="0" xfId="0" applyNumberFormat="1" applyFont="1" applyBorder="1" applyAlignment="1" applyProtection="1">
      <alignment horizontal="right" vertical="center" indent="1"/>
      <protection hidden="1"/>
    </xf>
    <xf numFmtId="0" fontId="9" fillId="8" borderId="7" xfId="0" applyFont="1" applyFill="1" applyBorder="1" applyAlignment="1" applyProtection="1">
      <alignment horizontal="right" vertical="center" wrapText="1" indent="1"/>
      <protection hidden="1"/>
    </xf>
    <xf numFmtId="0" fontId="0" fillId="2" borderId="13" xfId="0" applyFill="1" applyBorder="1" applyAlignment="1" applyProtection="1">
      <alignment horizontal="center"/>
      <protection hidden="1" locked="0"/>
    </xf>
    <xf numFmtId="0" fontId="9" fillId="4" borderId="10" xfId="0" applyFont="1" applyFill="1" applyBorder="1" applyAlignment="1" applyProtection="1">
      <alignment horizontal="right" vertical="center" wrapText="1" indent="1"/>
      <protection hidden="1"/>
    </xf>
    <xf numFmtId="0" fontId="0" fillId="6" borderId="16" xfId="0" applyFill="1" applyBorder="1" applyAlignment="1" applyProtection="1">
      <alignment/>
      <protection hidden="1"/>
    </xf>
    <xf numFmtId="0" fontId="8" fillId="6" borderId="2" xfId="0" applyFont="1" applyFill="1" applyBorder="1" applyAlignment="1" applyProtection="1">
      <alignment/>
      <protection hidden="1"/>
    </xf>
    <xf numFmtId="0" fontId="4" fillId="9" borderId="6" xfId="0" applyFont="1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/>
      <protection hidden="1"/>
    </xf>
    <xf numFmtId="0" fontId="0" fillId="9" borderId="5" xfId="0" applyFill="1" applyBorder="1" applyAlignment="1" applyProtection="1">
      <alignment/>
      <protection hidden="1"/>
    </xf>
    <xf numFmtId="0" fontId="0" fillId="10" borderId="1" xfId="0" applyFill="1" applyBorder="1" applyAlignment="1" applyProtection="1">
      <alignment/>
      <protection hidden="1"/>
    </xf>
    <xf numFmtId="0" fontId="0" fillId="10" borderId="2" xfId="0" applyFill="1" applyBorder="1" applyAlignment="1" applyProtection="1">
      <alignment/>
      <protection hidden="1"/>
    </xf>
    <xf numFmtId="0" fontId="0" fillId="10" borderId="3" xfId="0" applyFill="1" applyBorder="1" applyAlignment="1" applyProtection="1">
      <alignment/>
      <protection hidden="1"/>
    </xf>
    <xf numFmtId="0" fontId="8" fillId="6" borderId="6" xfId="0" applyFont="1" applyFill="1" applyBorder="1" applyAlignment="1" applyProtection="1">
      <alignment/>
      <protection hidden="1"/>
    </xf>
    <xf numFmtId="0" fontId="8" fillId="6" borderId="0" xfId="0" applyFont="1" applyFill="1" applyBorder="1" applyAlignment="1" applyProtection="1">
      <alignment/>
      <protection hidden="1"/>
    </xf>
    <xf numFmtId="0" fontId="7" fillId="3" borderId="14" xfId="0" applyFont="1" applyFill="1" applyBorder="1" applyAlignment="1" applyProtection="1">
      <alignment horizontal="center"/>
      <protection hidden="1"/>
    </xf>
    <xf numFmtId="0" fontId="7" fillId="4" borderId="14" xfId="0" applyFont="1" applyFill="1" applyBorder="1" applyAlignment="1" applyProtection="1">
      <alignment horizontal="center"/>
      <protection hidden="1"/>
    </xf>
    <xf numFmtId="0" fontId="8" fillId="9" borderId="6" xfId="0" applyFont="1" applyFill="1" applyBorder="1" applyAlignment="1" applyProtection="1">
      <alignment/>
      <protection hidden="1"/>
    </xf>
    <xf numFmtId="0" fontId="0" fillId="8" borderId="6" xfId="0" applyFill="1" applyBorder="1" applyAlignment="1" applyProtection="1">
      <alignment/>
      <protection hidden="1"/>
    </xf>
    <xf numFmtId="2" fontId="0" fillId="10" borderId="0" xfId="0" applyNumberFormat="1" applyFill="1" applyBorder="1" applyAlignment="1" applyProtection="1">
      <alignment/>
      <protection hidden="1"/>
    </xf>
    <xf numFmtId="2" fontId="0" fillId="10" borderId="5" xfId="0" applyNumberFormat="1" applyFill="1" applyBorder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8" fillId="6" borderId="11" xfId="0" applyFont="1" applyFill="1" applyBorder="1" applyAlignment="1" applyProtection="1">
      <alignment vertical="center"/>
      <protection hidden="1" locked="0"/>
    </xf>
    <xf numFmtId="2" fontId="8" fillId="11" borderId="11" xfId="0" applyNumberFormat="1" applyFont="1" applyFill="1" applyBorder="1" applyAlignment="1" applyProtection="1">
      <alignment horizontal="right" indent="1"/>
      <protection hidden="1" locked="0"/>
    </xf>
    <xf numFmtId="2" fontId="8" fillId="11" borderId="15" xfId="0" applyNumberFormat="1" applyFont="1" applyFill="1" applyBorder="1" applyAlignment="1" applyProtection="1">
      <alignment horizontal="right" indent="1"/>
      <protection hidden="1" locked="0"/>
    </xf>
    <xf numFmtId="0" fontId="0" fillId="9" borderId="6" xfId="0" applyFill="1" applyBorder="1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8" fillId="6" borderId="0" xfId="0" applyFont="1" applyFill="1" applyBorder="1" applyAlignment="1" applyProtection="1">
      <alignment vertical="center"/>
      <protection hidden="1"/>
    </xf>
    <xf numFmtId="0" fontId="8" fillId="6" borderId="5" xfId="0" applyFont="1" applyFill="1" applyBorder="1" applyAlignment="1" applyProtection="1">
      <alignment/>
      <protection hidden="1"/>
    </xf>
    <xf numFmtId="0" fontId="0" fillId="10" borderId="5" xfId="0" applyFill="1" applyBorder="1" applyAlignment="1" applyProtection="1">
      <alignment/>
      <protection hidden="1"/>
    </xf>
    <xf numFmtId="177" fontId="0" fillId="5" borderId="8" xfId="0" applyNumberFormat="1" applyFill="1" applyBorder="1" applyAlignment="1" applyProtection="1">
      <alignment/>
      <protection hidden="1"/>
    </xf>
    <xf numFmtId="0" fontId="4" fillId="10" borderId="7" xfId="0" applyFont="1" applyFill="1" applyBorder="1" applyAlignment="1" applyProtection="1">
      <alignment/>
      <protection hidden="1"/>
    </xf>
    <xf numFmtId="0" fontId="4" fillId="10" borderId="8" xfId="0" applyFont="1" applyFill="1" applyBorder="1" applyAlignment="1" applyProtection="1">
      <alignment/>
      <protection hidden="1"/>
    </xf>
    <xf numFmtId="2" fontId="4" fillId="10" borderId="9" xfId="0" applyNumberFormat="1" applyFont="1" applyFill="1" applyBorder="1" applyAlignment="1" applyProtection="1">
      <alignment/>
      <protection hidden="1"/>
    </xf>
    <xf numFmtId="0" fontId="7" fillId="6" borderId="15" xfId="0" applyFont="1" applyFill="1" applyBorder="1" applyAlignment="1" applyProtection="1">
      <alignment horizontal="center"/>
      <protection hidden="1" locked="0"/>
    </xf>
    <xf numFmtId="0" fontId="7" fillId="6" borderId="10" xfId="0" applyFont="1" applyFill="1" applyBorder="1" applyAlignment="1" applyProtection="1">
      <alignment horizontal="center"/>
      <protection hidden="1" locked="0"/>
    </xf>
    <xf numFmtId="2" fontId="8" fillId="11" borderId="15" xfId="0" applyNumberFormat="1" applyFont="1" applyFill="1" applyBorder="1" applyAlignment="1" applyProtection="1">
      <alignment horizontal="right" vertical="center" indent="1"/>
      <protection hidden="1" locked="0"/>
    </xf>
    <xf numFmtId="2" fontId="8" fillId="11" borderId="10" xfId="0" applyNumberFormat="1" applyFont="1" applyFill="1" applyBorder="1" applyAlignment="1" applyProtection="1">
      <alignment horizontal="right" vertical="center" indent="1"/>
      <protection hidden="1" locked="0"/>
    </xf>
    <xf numFmtId="0" fontId="8" fillId="9" borderId="7" xfId="0" applyFont="1" applyFill="1" applyBorder="1" applyAlignment="1" applyProtection="1">
      <alignment/>
      <protection hidden="1"/>
    </xf>
    <xf numFmtId="0" fontId="7" fillId="3" borderId="15" xfId="0" applyFont="1" applyFill="1" applyBorder="1" applyAlignment="1" applyProtection="1">
      <alignment horizontal="center"/>
      <protection hidden="1"/>
    </xf>
    <xf numFmtId="0" fontId="7" fillId="4" borderId="15" xfId="0" applyFont="1" applyFill="1" applyBorder="1" applyAlignment="1" applyProtection="1">
      <alignment horizontal="center"/>
      <protection hidden="1"/>
    </xf>
    <xf numFmtId="0" fontId="0" fillId="9" borderId="8" xfId="0" applyFill="1" applyBorder="1" applyAlignment="1" applyProtection="1">
      <alignment/>
      <protection hidden="1"/>
    </xf>
    <xf numFmtId="0" fontId="0" fillId="9" borderId="9" xfId="0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9" fontId="0" fillId="2" borderId="0" xfId="0" applyNumberFormat="1" applyFill="1" applyAlignment="1" applyProtection="1">
      <alignment/>
      <protection hidden="1"/>
    </xf>
    <xf numFmtId="172" fontId="0" fillId="2" borderId="0" xfId="0" applyNumberFormat="1" applyFill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78" fontId="0" fillId="0" borderId="0" xfId="0" applyNumberFormat="1" applyAlignment="1" applyProtection="1">
      <alignment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2" fontId="9" fillId="3" borderId="15" xfId="0" applyNumberFormat="1" applyFont="1" applyFill="1" applyBorder="1" applyAlignment="1" applyProtection="1">
      <alignment horizontal="right" vertical="center" indent="1"/>
      <protection hidden="1" locked="0"/>
    </xf>
    <xf numFmtId="2" fontId="9" fillId="3" borderId="15" xfId="0" applyNumberFormat="1" applyFont="1" applyFill="1" applyBorder="1" applyAlignment="1" applyProtection="1">
      <alignment horizontal="right" vertical="center" indent="2"/>
      <protection hidden="1" locked="0"/>
    </xf>
    <xf numFmtId="2" fontId="9" fillId="3" borderId="13" xfId="0" applyNumberFormat="1" applyFont="1" applyFill="1" applyBorder="1" applyAlignment="1" applyProtection="1">
      <alignment horizontal="right" vertical="center" indent="2"/>
      <protection hidden="1" locked="0"/>
    </xf>
    <xf numFmtId="0" fontId="14" fillId="6" borderId="0" xfId="0" applyFont="1" applyFill="1" applyAlignment="1" applyProtection="1">
      <alignment/>
      <protection hidden="1"/>
    </xf>
    <xf numFmtId="0" fontId="7" fillId="6" borderId="0" xfId="0" applyFont="1" applyFill="1" applyBorder="1" applyAlignment="1" applyProtection="1">
      <alignment horizontal="center" vertical="center"/>
      <protection hidden="1"/>
    </xf>
    <xf numFmtId="179" fontId="7" fillId="6" borderId="0" xfId="0" applyNumberFormat="1" applyFont="1" applyFill="1" applyBorder="1" applyAlignment="1" applyProtection="1">
      <alignment horizontal="right" vertical="center" indent="1"/>
      <protection hidden="1"/>
    </xf>
    <xf numFmtId="0" fontId="7" fillId="6" borderId="0" xfId="0" applyFont="1" applyFill="1" applyBorder="1" applyAlignment="1" applyProtection="1">
      <alignment horizontal="left" vertical="center"/>
      <protection hidden="1"/>
    </xf>
    <xf numFmtId="4" fontId="7" fillId="6" borderId="0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6" borderId="0" xfId="0" applyFill="1" applyAlignment="1" applyProtection="1">
      <alignment horizontal="right"/>
      <protection hidden="1"/>
    </xf>
    <xf numFmtId="177" fontId="0" fillId="0" borderId="0" xfId="0" applyNumberFormat="1" applyFill="1" applyBorder="1" applyAlignment="1" applyProtection="1">
      <alignment horizontal="center"/>
      <protection hidden="1"/>
    </xf>
    <xf numFmtId="2" fontId="0" fillId="3" borderId="0" xfId="0" applyNumberFormat="1" applyFill="1" applyBorder="1" applyAlignment="1" applyProtection="1">
      <alignment/>
      <protection hidden="1"/>
    </xf>
    <xf numFmtId="2" fontId="0" fillId="3" borderId="5" xfId="0" applyNumberForma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2" fontId="0" fillId="0" borderId="5" xfId="0" applyNumberFormat="1" applyFill="1" applyBorder="1" applyAlignment="1" applyProtection="1">
      <alignment/>
      <protection hidden="1"/>
    </xf>
    <xf numFmtId="2" fontId="0" fillId="0" borderId="8" xfId="0" applyNumberFormat="1" applyFill="1" applyBorder="1" applyAlignment="1" applyProtection="1">
      <alignment/>
      <protection hidden="1"/>
    </xf>
    <xf numFmtId="0" fontId="4" fillId="8" borderId="17" xfId="0" applyFont="1" applyFill="1" applyBorder="1" applyAlignment="1" applyProtection="1">
      <alignment horizontal="right" vertical="center" wrapText="1" indent="1"/>
      <protection hidden="1"/>
    </xf>
    <xf numFmtId="2" fontId="7" fillId="0" borderId="13" xfId="0" applyNumberFormat="1" applyFont="1" applyFill="1" applyBorder="1" applyAlignment="1" applyProtection="1">
      <alignment horizontal="right" vertical="center" indent="2"/>
      <protection hidden="1"/>
    </xf>
    <xf numFmtId="2" fontId="7" fillId="0" borderId="8" xfId="0" applyNumberFormat="1" applyFont="1" applyBorder="1" applyAlignment="1" applyProtection="1">
      <alignment horizontal="right" vertical="center" indent="2"/>
      <protection hidden="1"/>
    </xf>
    <xf numFmtId="2" fontId="7" fillId="0" borderId="15" xfId="0" applyNumberFormat="1" applyFont="1" applyBorder="1" applyAlignment="1" applyProtection="1">
      <alignment horizontal="right" vertical="center" indent="2"/>
      <protection hidden="1"/>
    </xf>
    <xf numFmtId="0" fontId="8" fillId="0" borderId="0" xfId="0" applyFont="1" applyBorder="1" applyAlignment="1" applyProtection="1">
      <alignment horizontal="right" vertical="center" indent="1"/>
      <protection hidden="1"/>
    </xf>
    <xf numFmtId="0" fontId="0" fillId="10" borderId="0" xfId="0" applyFill="1" applyBorder="1" applyAlignment="1" applyProtection="1">
      <alignment/>
      <protection hidden="1"/>
    </xf>
    <xf numFmtId="0" fontId="4" fillId="10" borderId="0" xfId="0" applyFont="1" applyFill="1" applyBorder="1" applyAlignment="1" applyProtection="1">
      <alignment/>
      <protection hidden="1"/>
    </xf>
    <xf numFmtId="0" fontId="7" fillId="5" borderId="6" xfId="0" applyFont="1" applyFill="1" applyBorder="1" applyAlignment="1" applyProtection="1">
      <alignment horizontal="center" vertical="center"/>
      <protection hidden="1"/>
    </xf>
    <xf numFmtId="0" fontId="4" fillId="6" borderId="11" xfId="0" applyFont="1" applyFill="1" applyBorder="1" applyAlignment="1" applyProtection="1">
      <alignment horizontal="left"/>
      <protection hidden="1"/>
    </xf>
    <xf numFmtId="178" fontId="8" fillId="0" borderId="18" xfId="0" applyNumberFormat="1" applyFont="1" applyBorder="1" applyAlignment="1" applyProtection="1">
      <alignment horizontal="right" vertical="center" indent="1"/>
      <protection hidden="1"/>
    </xf>
    <xf numFmtId="178" fontId="8" fillId="0" borderId="19" xfId="0" applyNumberFormat="1" applyFont="1" applyFill="1" applyBorder="1" applyAlignment="1" applyProtection="1">
      <alignment horizontal="right" vertical="center" indent="1"/>
      <protection hidden="1"/>
    </xf>
    <xf numFmtId="0" fontId="7" fillId="8" borderId="10" xfId="0" applyFont="1" applyFill="1" applyBorder="1" applyAlignment="1" applyProtection="1">
      <alignment horizontal="center"/>
      <protection hidden="1"/>
    </xf>
    <xf numFmtId="0" fontId="7" fillId="4" borderId="11" xfId="0" applyFont="1" applyFill="1" applyBorder="1" applyAlignment="1" applyProtection="1">
      <alignment horizontal="center"/>
      <protection hidden="1"/>
    </xf>
    <xf numFmtId="0" fontId="4" fillId="6" borderId="4" xfId="0" applyFont="1" applyFill="1" applyBorder="1" applyAlignment="1" applyProtection="1">
      <alignment horizontal="left" indent="1"/>
      <protection hidden="1"/>
    </xf>
    <xf numFmtId="0" fontId="4" fillId="6" borderId="8" xfId="0" applyFont="1" applyFill="1" applyBorder="1" applyAlignment="1" applyProtection="1">
      <alignment horizontal="left" indent="1"/>
      <protection hidden="1"/>
    </xf>
    <xf numFmtId="178" fontId="4" fillId="12" borderId="1" xfId="0" applyNumberFormat="1" applyFont="1" applyFill="1" applyBorder="1" applyAlignment="1" applyProtection="1">
      <alignment horizontal="right" vertical="center" indent="2"/>
      <protection hidden="1"/>
    </xf>
    <xf numFmtId="178" fontId="4" fillId="12" borderId="17" xfId="0" applyNumberFormat="1" applyFont="1" applyFill="1" applyBorder="1" applyAlignment="1" applyProtection="1">
      <alignment horizontal="right" vertical="center" indent="2"/>
      <protection hidden="1"/>
    </xf>
    <xf numFmtId="178" fontId="4" fillId="12" borderId="20" xfId="0" applyNumberFormat="1" applyFont="1" applyFill="1" applyBorder="1" applyAlignment="1" applyProtection="1">
      <alignment horizontal="right" vertical="center" indent="2"/>
      <protection hidden="1"/>
    </xf>
    <xf numFmtId="178" fontId="4" fillId="13" borderId="6" xfId="0" applyNumberFormat="1" applyFont="1" applyFill="1" applyBorder="1" applyAlignment="1" applyProtection="1">
      <alignment horizontal="right" vertical="center" indent="2"/>
      <protection hidden="1"/>
    </xf>
    <xf numFmtId="178" fontId="4" fillId="13" borderId="18" xfId="0" applyNumberFormat="1" applyFont="1" applyFill="1" applyBorder="1" applyAlignment="1" applyProtection="1">
      <alignment horizontal="right" vertical="center" indent="2"/>
      <protection hidden="1"/>
    </xf>
    <xf numFmtId="178" fontId="4" fillId="12" borderId="6" xfId="0" applyNumberFormat="1" applyFont="1" applyFill="1" applyBorder="1" applyAlignment="1" applyProtection="1">
      <alignment horizontal="right" vertical="center" indent="2"/>
      <protection hidden="1"/>
    </xf>
    <xf numFmtId="178" fontId="4" fillId="12" borderId="12" xfId="0" applyNumberFormat="1" applyFont="1" applyFill="1" applyBorder="1" applyAlignment="1" applyProtection="1">
      <alignment horizontal="right" vertical="center" indent="2"/>
      <protection hidden="1"/>
    </xf>
    <xf numFmtId="178" fontId="4" fillId="12" borderId="21" xfId="0" applyNumberFormat="1" applyFont="1" applyFill="1" applyBorder="1" applyAlignment="1" applyProtection="1">
      <alignment horizontal="right" vertical="center" indent="2"/>
      <protection hidden="1"/>
    </xf>
    <xf numFmtId="178" fontId="4" fillId="13" borderId="22" xfId="0" applyNumberFormat="1" applyFont="1" applyFill="1" applyBorder="1" applyAlignment="1" applyProtection="1">
      <alignment horizontal="right" vertical="center" indent="2"/>
      <protection hidden="1"/>
    </xf>
    <xf numFmtId="178" fontId="4" fillId="13" borderId="12" xfId="0" applyNumberFormat="1" applyFont="1" applyFill="1" applyBorder="1" applyAlignment="1" applyProtection="1">
      <alignment horizontal="right" vertical="center" indent="2"/>
      <protection hidden="1"/>
    </xf>
    <xf numFmtId="178" fontId="4" fillId="13" borderId="23" xfId="0" applyNumberFormat="1" applyFont="1" applyFill="1" applyBorder="1" applyAlignment="1" applyProtection="1">
      <alignment horizontal="right" vertical="center" indent="2"/>
      <protection hidden="1"/>
    </xf>
    <xf numFmtId="178" fontId="4" fillId="13" borderId="24" xfId="0" applyNumberFormat="1" applyFont="1" applyFill="1" applyBorder="1" applyAlignment="1" applyProtection="1">
      <alignment horizontal="right" vertical="center" indent="2"/>
      <protection hidden="1"/>
    </xf>
    <xf numFmtId="178" fontId="9" fillId="14" borderId="25" xfId="0" applyNumberFormat="1" applyFont="1" applyFill="1" applyBorder="1" applyAlignment="1" applyProtection="1">
      <alignment horizontal="right" vertical="center" indent="2"/>
      <protection hidden="1"/>
    </xf>
    <xf numFmtId="178" fontId="9" fillId="15" borderId="25" xfId="0" applyNumberFormat="1" applyFont="1" applyFill="1" applyBorder="1" applyAlignment="1" applyProtection="1">
      <alignment horizontal="right" vertical="center" indent="2"/>
      <protection hidden="1"/>
    </xf>
    <xf numFmtId="178" fontId="9" fillId="16" borderId="26" xfId="0" applyNumberFormat="1" applyFont="1" applyFill="1" applyBorder="1" applyAlignment="1" applyProtection="1">
      <alignment horizontal="right" vertical="center" indent="2"/>
      <protection hidden="1"/>
    </xf>
    <xf numFmtId="178" fontId="9" fillId="16" borderId="27" xfId="0" applyNumberFormat="1" applyFont="1" applyFill="1" applyBorder="1" applyAlignment="1" applyProtection="1">
      <alignment horizontal="right" vertical="center" indent="2"/>
      <protection hidden="1"/>
    </xf>
    <xf numFmtId="178" fontId="9" fillId="13" borderId="26" xfId="0" applyNumberFormat="1" applyFont="1" applyFill="1" applyBorder="1" applyAlignment="1" applyProtection="1">
      <alignment horizontal="right" vertical="center" indent="2"/>
      <protection hidden="1"/>
    </xf>
    <xf numFmtId="178" fontId="9" fillId="13" borderId="24" xfId="0" applyNumberFormat="1" applyFont="1" applyFill="1" applyBorder="1" applyAlignment="1" applyProtection="1">
      <alignment horizontal="right" vertical="center" indent="2"/>
      <protection hidden="1"/>
    </xf>
    <xf numFmtId="178" fontId="16" fillId="16" borderId="0" xfId="0" applyNumberFormat="1" applyFont="1" applyFill="1" applyBorder="1" applyAlignment="1" applyProtection="1">
      <alignment horizontal="right" vertical="center" indent="2"/>
      <protection hidden="1"/>
    </xf>
    <xf numFmtId="178" fontId="16" fillId="16" borderId="16" xfId="0" applyNumberFormat="1" applyFont="1" applyFill="1" applyBorder="1" applyAlignment="1" applyProtection="1">
      <alignment horizontal="right" vertical="center" indent="2"/>
      <protection hidden="1"/>
    </xf>
    <xf numFmtId="178" fontId="16" fillId="13" borderId="28" xfId="0" applyNumberFormat="1" applyFont="1" applyFill="1" applyBorder="1" applyAlignment="1" applyProtection="1">
      <alignment horizontal="right" vertical="center" indent="2"/>
      <protection hidden="1"/>
    </xf>
    <xf numFmtId="0" fontId="4" fillId="0" borderId="0" xfId="0" applyFont="1" applyBorder="1" applyAlignment="1" applyProtection="1">
      <alignment horizontal="right"/>
      <protection hidden="1"/>
    </xf>
    <xf numFmtId="178" fontId="4" fillId="0" borderId="0" xfId="0" applyNumberFormat="1" applyFont="1" applyBorder="1" applyAlignment="1" applyProtection="1">
      <alignment/>
      <protection hidden="1"/>
    </xf>
    <xf numFmtId="178" fontId="4" fillId="0" borderId="5" xfId="0" applyNumberFormat="1" applyFont="1" applyBorder="1" applyAlignment="1" applyProtection="1">
      <alignment/>
      <protection hidden="1"/>
    </xf>
    <xf numFmtId="0" fontId="4" fillId="0" borderId="8" xfId="0" applyFont="1" applyBorder="1" applyAlignment="1" applyProtection="1">
      <alignment horizontal="right"/>
      <protection hidden="1"/>
    </xf>
    <xf numFmtId="0" fontId="4" fillId="0" borderId="1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/>
      <protection hidden="1"/>
    </xf>
    <xf numFmtId="0" fontId="0" fillId="4" borderId="3" xfId="0" applyFill="1" applyBorder="1" applyAlignment="1" applyProtection="1">
      <alignment/>
      <protection hidden="1"/>
    </xf>
    <xf numFmtId="0" fontId="0" fillId="10" borderId="6" xfId="0" applyFill="1" applyBorder="1" applyAlignment="1" applyProtection="1">
      <alignment/>
      <protection hidden="1"/>
    </xf>
    <xf numFmtId="177" fontId="0" fillId="2" borderId="0" xfId="0" applyNumberFormat="1" applyFill="1" applyBorder="1" applyAlignment="1" applyProtection="1">
      <alignment horizontal="center"/>
      <protection hidden="1"/>
    </xf>
    <xf numFmtId="177" fontId="0" fillId="0" borderId="0" xfId="0" applyNumberFormat="1" applyBorder="1" applyAlignment="1" applyProtection="1">
      <alignment horizontal="center"/>
      <protection hidden="1"/>
    </xf>
    <xf numFmtId="177" fontId="0" fillId="0" borderId="5" xfId="0" applyNumberFormat="1" applyFill="1" applyBorder="1" applyAlignment="1" applyProtection="1">
      <alignment horizontal="center"/>
      <protection hidden="1"/>
    </xf>
    <xf numFmtId="0" fontId="0" fillId="10" borderId="7" xfId="0" applyFill="1" applyBorder="1" applyAlignment="1" applyProtection="1">
      <alignment/>
      <protection hidden="1"/>
    </xf>
    <xf numFmtId="177" fontId="0" fillId="0" borderId="8" xfId="0" applyNumberFormat="1" applyFill="1" applyBorder="1" applyAlignment="1" applyProtection="1">
      <alignment horizontal="center"/>
      <protection hidden="1"/>
    </xf>
    <xf numFmtId="177" fontId="0" fillId="2" borderId="9" xfId="0" applyNumberFormat="1" applyFill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/>
      <protection hidden="1"/>
    </xf>
    <xf numFmtId="0" fontId="5" fillId="6" borderId="3" xfId="0" applyFont="1" applyFill="1" applyBorder="1" applyAlignment="1" applyProtection="1">
      <alignment horizontal="right" vertical="top"/>
      <protection hidden="1"/>
    </xf>
    <xf numFmtId="1" fontId="4" fillId="0" borderId="0" xfId="0" applyNumberFormat="1" applyFont="1" applyAlignment="1" applyProtection="1">
      <alignment/>
      <protection hidden="1"/>
    </xf>
    <xf numFmtId="172" fontId="4" fillId="0" borderId="0" xfId="0" applyNumberFormat="1" applyFont="1" applyAlignment="1" applyProtection="1">
      <alignment/>
      <protection hidden="1"/>
    </xf>
    <xf numFmtId="178" fontId="4" fillId="0" borderId="0" xfId="0" applyNumberFormat="1" applyFont="1" applyAlignment="1" applyProtection="1">
      <alignment/>
      <protection hidden="1"/>
    </xf>
    <xf numFmtId="0" fontId="7" fillId="17" borderId="29" xfId="0" applyFont="1" applyFill="1" applyBorder="1" applyAlignment="1" applyProtection="1">
      <alignment horizontal="right" vertical="center" indent="1"/>
      <protection hidden="1"/>
    </xf>
    <xf numFmtId="0" fontId="7" fillId="17" borderId="29" xfId="0" applyFont="1" applyFill="1" applyBorder="1" applyAlignment="1" applyProtection="1">
      <alignment horizontal="left" vertical="center"/>
      <protection hidden="1"/>
    </xf>
    <xf numFmtId="179" fontId="7" fillId="17" borderId="29" xfId="0" applyNumberFormat="1" applyFont="1" applyFill="1" applyBorder="1" applyAlignment="1" applyProtection="1">
      <alignment horizontal="right" vertical="center" indent="1"/>
      <protection hidden="1"/>
    </xf>
    <xf numFmtId="0" fontId="7" fillId="17" borderId="29" xfId="0" applyFont="1" applyFill="1" applyBorder="1" applyAlignment="1" applyProtection="1">
      <alignment horizontal="center" vertical="center"/>
      <protection hidden="1"/>
    </xf>
    <xf numFmtId="178" fontId="4" fillId="6" borderId="0" xfId="0" applyNumberFormat="1" applyFont="1" applyFill="1" applyBorder="1" applyAlignment="1" applyProtection="1">
      <alignment horizontal="center" vertical="center"/>
      <protection hidden="1"/>
    </xf>
    <xf numFmtId="0" fontId="0" fillId="6" borderId="30" xfId="0" applyFill="1" applyBorder="1" applyAlignment="1" applyProtection="1">
      <alignment/>
      <protection hidden="1"/>
    </xf>
    <xf numFmtId="0" fontId="4" fillId="6" borderId="6" xfId="0" applyFont="1" applyFill="1" applyBorder="1" applyAlignment="1" applyProtection="1">
      <alignment horizontal="left" vertical="center"/>
      <protection hidden="1"/>
    </xf>
    <xf numFmtId="0" fontId="7" fillId="6" borderId="31" xfId="0" applyFont="1" applyFill="1" applyBorder="1" applyAlignment="1" applyProtection="1">
      <alignment horizontal="right" vertical="center"/>
      <protection hidden="1"/>
    </xf>
    <xf numFmtId="0" fontId="7" fillId="17" borderId="32" xfId="0" applyFont="1" applyFill="1" applyBorder="1" applyAlignment="1" applyProtection="1">
      <alignment horizontal="right" vertical="center"/>
      <protection hidden="1"/>
    </xf>
    <xf numFmtId="0" fontId="0" fillId="6" borderId="33" xfId="0" applyFill="1" applyBorder="1" applyAlignment="1" applyProtection="1">
      <alignment/>
      <protection hidden="1"/>
    </xf>
    <xf numFmtId="0" fontId="0" fillId="6" borderId="33" xfId="0" applyFill="1" applyBorder="1" applyAlignment="1" applyProtection="1">
      <alignment horizontal="center" vertical="center"/>
      <protection hidden="1"/>
    </xf>
    <xf numFmtId="0" fontId="7" fillId="17" borderId="34" xfId="0" applyFont="1" applyFill="1" applyBorder="1" applyAlignment="1" applyProtection="1">
      <alignment horizontal="left" vertical="center"/>
      <protection hidden="1"/>
    </xf>
    <xf numFmtId="0" fontId="7" fillId="6" borderId="2" xfId="0" applyFont="1" applyFill="1" applyBorder="1" applyAlignment="1" applyProtection="1">
      <alignment horizontal="right"/>
      <protection hidden="1"/>
    </xf>
    <xf numFmtId="0" fontId="7" fillId="6" borderId="0" xfId="0" applyFont="1" applyFill="1" applyBorder="1" applyAlignment="1" applyProtection="1">
      <alignment horizontal="right"/>
      <protection hidden="1"/>
    </xf>
    <xf numFmtId="0" fontId="7" fillId="6" borderId="8" xfId="0" applyFont="1" applyFill="1" applyBorder="1" applyAlignment="1" applyProtection="1">
      <alignment horizontal="right"/>
      <protection hidden="1"/>
    </xf>
    <xf numFmtId="172" fontId="7" fillId="6" borderId="2" xfId="0" applyNumberFormat="1" applyFont="1" applyFill="1" applyBorder="1" applyAlignment="1" applyProtection="1">
      <alignment horizontal="center"/>
      <protection hidden="1"/>
    </xf>
    <xf numFmtId="1" fontId="7" fillId="6" borderId="0" xfId="0" applyNumberFormat="1" applyFont="1" applyFill="1" applyBorder="1" applyAlignment="1" applyProtection="1">
      <alignment horizontal="center"/>
      <protection hidden="1"/>
    </xf>
    <xf numFmtId="1" fontId="7" fillId="6" borderId="8" xfId="0" applyNumberFormat="1" applyFont="1" applyFill="1" applyBorder="1" applyAlignment="1" applyProtection="1">
      <alignment horizontal="center"/>
      <protection hidden="1"/>
    </xf>
    <xf numFmtId="0" fontId="4" fillId="6" borderId="0" xfId="0" applyFont="1" applyFill="1" applyAlignment="1" applyProtection="1">
      <alignment/>
      <protection hidden="1"/>
    </xf>
    <xf numFmtId="0" fontId="7" fillId="6" borderId="31" xfId="0" applyFont="1" applyFill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left" vertical="top" wrapText="1" indent="1"/>
      <protection hidden="1"/>
    </xf>
    <xf numFmtId="0" fontId="11" fillId="6" borderId="0" xfId="0" applyFont="1" applyFill="1" applyBorder="1" applyAlignment="1" applyProtection="1">
      <alignment horizontal="left" indent="1"/>
      <protection hidden="1"/>
    </xf>
    <xf numFmtId="0" fontId="4" fillId="6" borderId="0" xfId="0" applyFont="1" applyFill="1" applyBorder="1" applyAlignment="1" applyProtection="1">
      <alignment horizontal="center"/>
      <protection hidden="1"/>
    </xf>
    <xf numFmtId="2" fontId="8" fillId="6" borderId="0" xfId="0" applyNumberFormat="1" applyFont="1" applyFill="1" applyBorder="1" applyAlignment="1" applyProtection="1">
      <alignment horizontal="right" vertical="center"/>
      <protection hidden="1"/>
    </xf>
    <xf numFmtId="0" fontId="7" fillId="8" borderId="0" xfId="0" applyFont="1" applyFill="1" applyBorder="1" applyAlignment="1" applyProtection="1">
      <alignment horizontal="right"/>
      <protection hidden="1"/>
    </xf>
    <xf numFmtId="0" fontId="7" fillId="4" borderId="5" xfId="0" applyFont="1" applyFill="1" applyBorder="1" applyAlignment="1" applyProtection="1">
      <alignment horizontal="right"/>
      <protection hidden="1"/>
    </xf>
    <xf numFmtId="0" fontId="7" fillId="6" borderId="0" xfId="0" applyFont="1" applyFill="1" applyBorder="1" applyAlignment="1" applyProtection="1">
      <alignment horizontal="left" vertical="top" wrapText="1" indent="1"/>
      <protection hidden="1"/>
    </xf>
    <xf numFmtId="180" fontId="0" fillId="6" borderId="0" xfId="0" applyNumberForma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 locked="0"/>
    </xf>
    <xf numFmtId="177" fontId="7" fillId="3" borderId="0" xfId="0" applyNumberFormat="1" applyFont="1" applyFill="1" applyBorder="1" applyAlignment="1" applyProtection="1">
      <alignment vertical="center"/>
      <protection hidden="1"/>
    </xf>
    <xf numFmtId="177" fontId="7" fillId="3" borderId="35" xfId="0" applyNumberFormat="1" applyFont="1" applyFill="1" applyBorder="1" applyAlignment="1" applyProtection="1">
      <alignment horizontal="left" vertical="center"/>
      <protection hidden="1"/>
    </xf>
    <xf numFmtId="0" fontId="0" fillId="6" borderId="0" xfId="0" applyFill="1" applyBorder="1" applyAlignment="1" applyProtection="1">
      <alignment horizontal="right" indent="2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177" fontId="8" fillId="3" borderId="0" xfId="0" applyNumberFormat="1" applyFont="1" applyFill="1" applyBorder="1" applyAlignment="1" applyProtection="1">
      <alignment horizontal="left" vertical="center"/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1" fontId="7" fillId="3" borderId="29" xfId="0" applyNumberFormat="1" applyFont="1" applyFill="1" applyBorder="1" applyAlignment="1" applyProtection="1">
      <alignment vertical="center"/>
      <protection hidden="1"/>
    </xf>
    <xf numFmtId="177" fontId="8" fillId="3" borderId="5" xfId="0" applyNumberFormat="1" applyFont="1" applyFill="1" applyBorder="1" applyAlignment="1" applyProtection="1">
      <alignment horizontal="left" vertical="center"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6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 locked="0"/>
    </xf>
    <xf numFmtId="177" fontId="0" fillId="0" borderId="0" xfId="0" applyNumberFormat="1" applyFill="1" applyBorder="1" applyAlignment="1" applyProtection="1">
      <alignment horizontal="right"/>
      <protection hidden="1"/>
    </xf>
    <xf numFmtId="177" fontId="0" fillId="0" borderId="0" xfId="0" applyNumberFormat="1" applyFill="1" applyBorder="1" applyAlignment="1" applyProtection="1">
      <alignment horizontal="left"/>
      <protection hidden="1"/>
    </xf>
    <xf numFmtId="0" fontId="0" fillId="0" borderId="5" xfId="0" applyFill="1" applyBorder="1" applyAlignment="1" applyProtection="1">
      <alignment/>
      <protection hidden="1"/>
    </xf>
    <xf numFmtId="176" fontId="0" fillId="0" borderId="5" xfId="0" applyNumberFormat="1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 horizontal="right"/>
      <protection hidden="1"/>
    </xf>
    <xf numFmtId="0" fontId="0" fillId="0" borderId="5" xfId="0" applyFill="1" applyBorder="1" applyAlignment="1" applyProtection="1">
      <alignment/>
      <protection hidden="1" locked="0"/>
    </xf>
    <xf numFmtId="179" fontId="0" fillId="6" borderId="0" xfId="0" applyNumberFormat="1" applyFill="1" applyBorder="1" applyAlignment="1" applyProtection="1">
      <alignment/>
      <protection hidden="1"/>
    </xf>
    <xf numFmtId="179" fontId="0" fillId="6" borderId="6" xfId="0" applyNumberFormat="1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 horizontal="right"/>
      <protection hidden="1"/>
    </xf>
    <xf numFmtId="0" fontId="0" fillId="0" borderId="2" xfId="0" applyFill="1" applyBorder="1" applyAlignment="1" applyProtection="1">
      <alignment horizontal="center"/>
      <protection hidden="1"/>
    </xf>
    <xf numFmtId="179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 locked="0"/>
    </xf>
    <xf numFmtId="179" fontId="0" fillId="0" borderId="7" xfId="0" applyNumberFormat="1" applyFill="1" applyBorder="1" applyAlignment="1" applyProtection="1">
      <alignment/>
      <protection hidden="1"/>
    </xf>
    <xf numFmtId="179" fontId="0" fillId="0" borderId="0" xfId="0" applyNumberFormat="1" applyFill="1" applyBorder="1" applyAlignment="1" applyProtection="1">
      <alignment/>
      <protection hidden="1"/>
    </xf>
    <xf numFmtId="0" fontId="4" fillId="6" borderId="1" xfId="0" applyFont="1" applyFill="1" applyBorder="1" applyAlignment="1" applyProtection="1">
      <alignment/>
      <protection hidden="1"/>
    </xf>
    <xf numFmtId="1" fontId="0" fillId="0" borderId="8" xfId="0" applyNumberFormat="1" applyFill="1" applyBorder="1" applyAlignment="1" applyProtection="1">
      <alignment/>
      <protection hidden="1"/>
    </xf>
    <xf numFmtId="0" fontId="0" fillId="0" borderId="9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179" fontId="7" fillId="6" borderId="6" xfId="0" applyNumberFormat="1" applyFont="1" applyFill="1" applyBorder="1" applyAlignment="1" applyProtection="1">
      <alignment horizontal="right" vertical="center" indent="1"/>
      <protection hidden="1"/>
    </xf>
    <xf numFmtId="0" fontId="0" fillId="6" borderId="4" xfId="0" applyFill="1" applyBorder="1" applyAlignment="1" applyProtection="1">
      <alignment/>
      <protection hidden="1"/>
    </xf>
    <xf numFmtId="0" fontId="0" fillId="0" borderId="4" xfId="0" applyFill="1" applyBorder="1" applyAlignment="1" applyProtection="1">
      <alignment/>
      <protection hidden="1"/>
    </xf>
    <xf numFmtId="1" fontId="0" fillId="0" borderId="12" xfId="0" applyNumberFormat="1" applyFill="1" applyBorder="1" applyAlignment="1" applyProtection="1">
      <alignment horizontal="center"/>
      <protection hidden="1"/>
    </xf>
    <xf numFmtId="0" fontId="0" fillId="6" borderId="12" xfId="0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9" borderId="1" xfId="0" applyFill="1" applyBorder="1" applyAlignment="1" applyProtection="1">
      <alignment/>
      <protection hidden="1"/>
    </xf>
    <xf numFmtId="0" fontId="0" fillId="9" borderId="3" xfId="0" applyFill="1" applyBorder="1" applyAlignment="1" applyProtection="1">
      <alignment/>
      <protection hidden="1"/>
    </xf>
    <xf numFmtId="0" fontId="0" fillId="9" borderId="6" xfId="0" applyFill="1" applyBorder="1" applyAlignment="1" applyProtection="1">
      <alignment horizontal="right"/>
      <protection hidden="1"/>
    </xf>
    <xf numFmtId="2" fontId="0" fillId="9" borderId="5" xfId="0" applyNumberFormat="1" applyFill="1" applyBorder="1" applyAlignment="1" applyProtection="1">
      <alignment horizontal="center"/>
      <protection hidden="1" locked="0"/>
    </xf>
    <xf numFmtId="172" fontId="0" fillId="9" borderId="5" xfId="0" applyNumberFormat="1" applyFill="1" applyBorder="1" applyAlignment="1" applyProtection="1">
      <alignment horizontal="center"/>
      <protection hidden="1"/>
    </xf>
    <xf numFmtId="0" fontId="0" fillId="9" borderId="7" xfId="0" applyFill="1" applyBorder="1" applyAlignment="1" applyProtection="1">
      <alignment horizontal="right"/>
      <protection hidden="1"/>
    </xf>
    <xf numFmtId="172" fontId="0" fillId="9" borderId="9" xfId="0" applyNumberFormat="1" applyFill="1" applyBorder="1" applyAlignment="1" applyProtection="1">
      <alignment horizontal="center"/>
      <protection hidden="1"/>
    </xf>
    <xf numFmtId="172" fontId="0" fillId="9" borderId="5" xfId="0" applyNumberFormat="1" applyFill="1" applyBorder="1" applyAlignment="1" applyProtection="1">
      <alignment horizontal="center"/>
      <protection hidden="1" locked="0"/>
    </xf>
    <xf numFmtId="172" fontId="0" fillId="9" borderId="9" xfId="0" applyNumberFormat="1" applyFill="1" applyBorder="1" applyAlignment="1" applyProtection="1">
      <alignment horizontal="center"/>
      <protection hidden="1" locked="0"/>
    </xf>
    <xf numFmtId="1" fontId="0" fillId="9" borderId="9" xfId="0" applyNumberFormat="1" applyFill="1" applyBorder="1" applyAlignment="1" applyProtection="1">
      <alignment horizontal="center"/>
      <protection hidden="1"/>
    </xf>
    <xf numFmtId="1" fontId="0" fillId="9" borderId="9" xfId="0" applyNumberFormat="1" applyFill="1" applyBorder="1" applyAlignment="1" applyProtection="1">
      <alignment/>
      <protection hidden="1"/>
    </xf>
    <xf numFmtId="1" fontId="0" fillId="9" borderId="3" xfId="0" applyNumberFormat="1" applyFill="1" applyBorder="1" applyAlignment="1" applyProtection="1">
      <alignment horizontal="center"/>
      <protection hidden="1"/>
    </xf>
    <xf numFmtId="2" fontId="0" fillId="9" borderId="5" xfId="0" applyNumberFormat="1" applyFill="1" applyBorder="1" applyAlignment="1" applyProtection="1">
      <alignment horizontal="center"/>
      <protection hidden="1"/>
    </xf>
    <xf numFmtId="179" fontId="7" fillId="0" borderId="0" xfId="0" applyNumberFormat="1" applyFont="1" applyFill="1" applyBorder="1" applyAlignment="1" applyProtection="1">
      <alignment horizontal="right" vertical="center" indent="1"/>
      <protection hidden="1"/>
    </xf>
    <xf numFmtId="0" fontId="0" fillId="6" borderId="12" xfId="0" applyFill="1" applyBorder="1" applyAlignment="1" applyProtection="1">
      <alignment horizontal="right"/>
      <protection hidden="1"/>
    </xf>
    <xf numFmtId="0" fontId="0" fillId="6" borderId="13" xfId="0" applyFill="1" applyBorder="1" applyAlignment="1" applyProtection="1">
      <alignment horizontal="right"/>
      <protection hidden="1"/>
    </xf>
    <xf numFmtId="0" fontId="0" fillId="6" borderId="14" xfId="0" applyFill="1" applyBorder="1" applyAlignment="1" applyProtection="1">
      <alignment horizontal="right"/>
      <protection hidden="1" locked="0"/>
    </xf>
    <xf numFmtId="0" fontId="0" fillId="6" borderId="12" xfId="0" applyFill="1" applyBorder="1" applyAlignment="1" applyProtection="1">
      <alignment horizontal="right"/>
      <protection hidden="1" locked="0"/>
    </xf>
    <xf numFmtId="0" fontId="0" fillId="2" borderId="2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 locked="0"/>
    </xf>
    <xf numFmtId="1" fontId="0" fillId="2" borderId="0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0" fillId="17" borderId="0" xfId="0" applyFill="1" applyAlignment="1" applyProtection="1">
      <alignment/>
      <protection hidden="1"/>
    </xf>
    <xf numFmtId="0" fontId="0" fillId="17" borderId="0" xfId="0" applyFill="1" applyBorder="1" applyAlignment="1" applyProtection="1">
      <alignment horizontal="right"/>
      <protection hidden="1"/>
    </xf>
    <xf numFmtId="0" fontId="0" fillId="17" borderId="0" xfId="0" applyFill="1" applyBorder="1" applyAlignment="1" applyProtection="1">
      <alignment horizontal="center"/>
      <protection hidden="1" locked="0"/>
    </xf>
    <xf numFmtId="2" fontId="7" fillId="17" borderId="30" xfId="0" applyNumberFormat="1" applyFont="1" applyFill="1" applyBorder="1" applyAlignment="1" applyProtection="1">
      <alignment horizontal="right" vertical="center"/>
      <protection hidden="1"/>
    </xf>
    <xf numFmtId="0" fontId="7" fillId="17" borderId="36" xfId="0" applyFont="1" applyFill="1" applyBorder="1" applyAlignment="1" applyProtection="1">
      <alignment horizontal="left" vertical="center"/>
      <protection hidden="1"/>
    </xf>
    <xf numFmtId="179" fontId="7" fillId="17" borderId="0" xfId="0" applyNumberFormat="1" applyFont="1" applyFill="1" applyBorder="1" applyAlignment="1" applyProtection="1">
      <alignment horizontal="right" vertical="center" indent="1"/>
      <protection hidden="1" locked="0"/>
    </xf>
    <xf numFmtId="0" fontId="8" fillId="6" borderId="10" xfId="0" applyFont="1" applyFill="1" applyBorder="1" applyAlignment="1" applyProtection="1">
      <alignment horizontal="left" vertical="center" indent="1"/>
      <protection hidden="1"/>
    </xf>
    <xf numFmtId="0" fontId="8" fillId="6" borderId="10" xfId="0" applyFont="1" applyFill="1" applyBorder="1" applyAlignment="1" applyProtection="1">
      <alignment horizontal="left" indent="1"/>
      <protection hidden="1"/>
    </xf>
    <xf numFmtId="0" fontId="7" fillId="6" borderId="6" xfId="0" applyFont="1" applyFill="1" applyBorder="1" applyAlignment="1" applyProtection="1">
      <alignment horizontal="left" inden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19" fillId="6" borderId="37" xfId="0" applyFont="1" applyFill="1" applyBorder="1" applyAlignment="1" applyProtection="1">
      <alignment horizontal="left" vertical="center" indent="1"/>
      <protection hidden="1"/>
    </xf>
    <xf numFmtId="0" fontId="20" fillId="6" borderId="1" xfId="0" applyFont="1" applyFill="1" applyBorder="1" applyAlignment="1" applyProtection="1">
      <alignment horizontal="left" indent="1"/>
      <protection hidden="1"/>
    </xf>
    <xf numFmtId="0" fontId="20" fillId="6" borderId="6" xfId="0" applyFont="1" applyFill="1" applyBorder="1" applyAlignment="1" applyProtection="1">
      <alignment horizontal="left" indent="1"/>
      <protection hidden="1"/>
    </xf>
    <xf numFmtId="177" fontId="21" fillId="0" borderId="0" xfId="0" applyNumberFormat="1" applyFont="1" applyFill="1" applyBorder="1" applyAlignment="1" applyProtection="1">
      <alignment horizontal="right"/>
      <protection hidden="1"/>
    </xf>
    <xf numFmtId="0" fontId="0" fillId="2" borderId="15" xfId="0" applyFill="1" applyBorder="1" applyAlignment="1" applyProtection="1">
      <alignment/>
      <protection hidden="1"/>
    </xf>
    <xf numFmtId="177" fontId="0" fillId="6" borderId="15" xfId="0" applyNumberFormat="1" applyFill="1" applyBorder="1" applyAlignment="1" applyProtection="1">
      <alignment/>
      <protection hidden="1"/>
    </xf>
    <xf numFmtId="176" fontId="0" fillId="6" borderId="15" xfId="0" applyNumberFormat="1" applyFill="1" applyBorder="1" applyAlignment="1" applyProtection="1">
      <alignment/>
      <protection hidden="1"/>
    </xf>
    <xf numFmtId="177" fontId="0" fillId="5" borderId="0" xfId="0" applyNumberFormat="1" applyFill="1" applyAlignment="1" applyProtection="1">
      <alignment/>
      <protection hidden="1"/>
    </xf>
    <xf numFmtId="0" fontId="0" fillId="0" borderId="8" xfId="0" applyFill="1" applyBorder="1" applyAlignment="1" applyProtection="1">
      <alignment horizontal="center"/>
      <protection hidden="1"/>
    </xf>
    <xf numFmtId="179" fontId="0" fillId="0" borderId="8" xfId="0" applyNumberFormat="1" applyFill="1" applyBorder="1" applyAlignment="1" applyProtection="1">
      <alignment/>
      <protection hidden="1"/>
    </xf>
    <xf numFmtId="0" fontId="22" fillId="6" borderId="0" xfId="0" applyFont="1" applyFill="1" applyBorder="1" applyAlignment="1" applyProtection="1">
      <alignment horizontal="left" vertical="top" indent="1"/>
      <protection hidden="1"/>
    </xf>
    <xf numFmtId="177" fontId="0" fillId="6" borderId="10" xfId="0" applyNumberFormat="1" applyFill="1" applyBorder="1" applyAlignment="1" applyProtection="1">
      <alignment/>
      <protection hidden="1"/>
    </xf>
    <xf numFmtId="176" fontId="0" fillId="6" borderId="14" xfId="0" applyNumberFormat="1" applyFill="1" applyBorder="1" applyAlignment="1" applyProtection="1">
      <alignment/>
      <protection hidden="1"/>
    </xf>
    <xf numFmtId="176" fontId="0" fillId="6" borderId="38" xfId="0" applyNumberForma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" vertical="center" wrapText="1"/>
      <protection hidden="1"/>
    </xf>
    <xf numFmtId="177" fontId="0" fillId="6" borderId="0" xfId="0" applyNumberFormat="1" applyFill="1" applyAlignment="1" applyProtection="1">
      <alignment/>
      <protection hidden="1"/>
    </xf>
    <xf numFmtId="0" fontId="4" fillId="6" borderId="2" xfId="0" applyFont="1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 locked="0"/>
    </xf>
    <xf numFmtId="0" fontId="11" fillId="6" borderId="3" xfId="0" applyFont="1" applyFill="1" applyBorder="1" applyAlignment="1" applyProtection="1">
      <alignment horizontal="left" indent="1"/>
      <protection hidden="1"/>
    </xf>
    <xf numFmtId="0" fontId="11" fillId="6" borderId="0" xfId="0" applyFont="1" applyFill="1" applyBorder="1" applyAlignment="1" applyProtection="1">
      <alignment horizontal="right" indent="1"/>
      <protection hidden="1"/>
    </xf>
    <xf numFmtId="177" fontId="11" fillId="6" borderId="0" xfId="0" applyNumberFormat="1" applyFont="1" applyFill="1" applyBorder="1" applyAlignment="1" applyProtection="1">
      <alignment horizontal="right"/>
      <protection hidden="1"/>
    </xf>
    <xf numFmtId="178" fontId="4" fillId="12" borderId="2" xfId="0" applyNumberFormat="1" applyFont="1" applyFill="1" applyBorder="1" applyAlignment="1" applyProtection="1">
      <alignment horizontal="right" vertical="center" indent="2"/>
      <protection hidden="1"/>
    </xf>
    <xf numFmtId="178" fontId="4" fillId="12" borderId="39" xfId="0" applyNumberFormat="1" applyFont="1" applyFill="1" applyBorder="1" applyAlignment="1" applyProtection="1">
      <alignment horizontal="right" vertical="center" indent="2"/>
      <protection hidden="1"/>
    </xf>
    <xf numFmtId="178" fontId="4" fillId="13" borderId="0" xfId="0" applyNumberFormat="1" applyFont="1" applyFill="1" applyBorder="1" applyAlignment="1" applyProtection="1">
      <alignment horizontal="right" vertical="center" indent="2"/>
      <protection hidden="1"/>
    </xf>
    <xf numFmtId="178" fontId="4" fillId="13" borderId="40" xfId="0" applyNumberFormat="1" applyFont="1" applyFill="1" applyBorder="1" applyAlignment="1" applyProtection="1">
      <alignment horizontal="right" vertical="center" indent="2"/>
      <protection hidden="1"/>
    </xf>
    <xf numFmtId="1" fontId="8" fillId="3" borderId="0" xfId="0" applyNumberFormat="1" applyFont="1" applyFill="1" applyBorder="1" applyAlignment="1" applyProtection="1">
      <alignment horizontal="right" vertical="center"/>
      <protection hidden="1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178" fontId="0" fillId="2" borderId="0" xfId="0" applyNumberFormat="1" applyFill="1" applyBorder="1" applyAlignment="1" applyProtection="1">
      <alignment horizontal="center"/>
      <protection hidden="1" locked="0"/>
    </xf>
    <xf numFmtId="0" fontId="0" fillId="9" borderId="5" xfId="0" applyFill="1" applyBorder="1" applyAlignment="1" applyProtection="1">
      <alignment horizontal="center"/>
      <protection hidden="1" locked="0"/>
    </xf>
    <xf numFmtId="0" fontId="0" fillId="5" borderId="10" xfId="0" applyFill="1" applyBorder="1" applyAlignment="1" applyProtection="1">
      <alignment/>
      <protection hidden="1"/>
    </xf>
    <xf numFmtId="1" fontId="0" fillId="5" borderId="11" xfId="0" applyNumberFormat="1" applyFill="1" applyBorder="1" applyAlignment="1" applyProtection="1">
      <alignment/>
      <protection hidden="1"/>
    </xf>
    <xf numFmtId="0" fontId="0" fillId="5" borderId="11" xfId="0" applyFill="1" applyBorder="1" applyAlignment="1" applyProtection="1">
      <alignment/>
      <protection hidden="1"/>
    </xf>
    <xf numFmtId="0" fontId="4" fillId="3" borderId="1" xfId="0" applyFont="1" applyFill="1" applyBorder="1" applyAlignment="1" applyProtection="1">
      <alignment/>
      <protection hidden="1"/>
    </xf>
    <xf numFmtId="0" fontId="4" fillId="17" borderId="6" xfId="0" applyFont="1" applyFill="1" applyBorder="1" applyAlignment="1" applyProtection="1">
      <alignment/>
      <protection hidden="1"/>
    </xf>
    <xf numFmtId="0" fontId="5" fillId="6" borderId="0" xfId="0" applyFont="1" applyFill="1" applyAlignment="1" applyProtection="1">
      <alignment horizontal="left" vertical="top" wrapText="1" indent="1"/>
      <protection hidden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0" fillId="17" borderId="2" xfId="0" applyFill="1" applyBorder="1" applyAlignment="1" applyProtection="1">
      <alignment horizontal="center"/>
      <protection hidden="1"/>
    </xf>
    <xf numFmtId="2" fontId="7" fillId="18" borderId="15" xfId="0" applyNumberFormat="1" applyFont="1" applyFill="1" applyBorder="1" applyAlignment="1" applyProtection="1">
      <alignment horizontal="center" vertical="center"/>
      <protection hidden="1"/>
    </xf>
    <xf numFmtId="2" fontId="7" fillId="13" borderId="15" xfId="0" applyNumberFormat="1" applyFont="1" applyFill="1" applyBorder="1" applyAlignment="1" applyProtection="1">
      <alignment horizontal="center" vertical="center"/>
      <protection hidden="1"/>
    </xf>
    <xf numFmtId="2" fontId="7" fillId="13" borderId="10" xfId="0" applyNumberFormat="1" applyFont="1" applyFill="1" applyBorder="1" applyAlignment="1" applyProtection="1">
      <alignment horizontal="center" vertical="center"/>
      <protection hidden="1"/>
    </xf>
    <xf numFmtId="0" fontId="20" fillId="6" borderId="6" xfId="0" applyFont="1" applyFill="1" applyBorder="1" applyAlignment="1" applyProtection="1">
      <alignment horizontal="left" vertical="center" wrapText="1" indent="1"/>
      <protection hidden="1"/>
    </xf>
    <xf numFmtId="0" fontId="11" fillId="0" borderId="0" xfId="0" applyFont="1" applyBorder="1" applyAlignment="1" applyProtection="1">
      <alignment horizontal="left" vertical="center" wrapText="1" indent="1"/>
      <protection hidden="1"/>
    </xf>
    <xf numFmtId="0" fontId="11" fillId="0" borderId="5" xfId="0" applyFont="1" applyBorder="1" applyAlignment="1" applyProtection="1">
      <alignment horizontal="left" vertical="center" wrapText="1" indent="1"/>
      <protection hidden="1"/>
    </xf>
    <xf numFmtId="0" fontId="11" fillId="0" borderId="7" xfId="0" applyFont="1" applyBorder="1" applyAlignment="1" applyProtection="1">
      <alignment horizontal="left" vertical="center" wrapText="1" indent="1"/>
      <protection hidden="1"/>
    </xf>
    <xf numFmtId="0" fontId="11" fillId="0" borderId="8" xfId="0" applyFont="1" applyBorder="1" applyAlignment="1" applyProtection="1">
      <alignment horizontal="left" vertical="center" wrapText="1" indent="1"/>
      <protection hidden="1"/>
    </xf>
    <xf numFmtId="0" fontId="11" fillId="0" borderId="9" xfId="0" applyFont="1" applyBorder="1" applyAlignment="1" applyProtection="1">
      <alignment horizontal="left" vertical="center" wrapText="1" indent="1"/>
      <protection hidden="1"/>
    </xf>
    <xf numFmtId="0" fontId="4" fillId="6" borderId="10" xfId="0" applyFont="1" applyFill="1" applyBorder="1" applyAlignment="1" applyProtection="1">
      <alignment horizontal="left" indent="1"/>
      <protection hidden="1"/>
    </xf>
    <xf numFmtId="0" fontId="0" fillId="0" borderId="4" xfId="0" applyBorder="1" applyAlignment="1">
      <alignment horizontal="left" indent="1"/>
    </xf>
    <xf numFmtId="0" fontId="7" fillId="10" borderId="0" xfId="0" applyFont="1" applyFill="1" applyBorder="1" applyAlignment="1" applyProtection="1">
      <alignment horizontal="right" vertical="center" wrapText="1"/>
      <protection hidden="1"/>
    </xf>
    <xf numFmtId="0" fontId="0" fillId="0" borderId="5" xfId="0" applyBorder="1" applyAlignment="1">
      <alignment horizontal="right" vertical="center" wrapText="1"/>
    </xf>
    <xf numFmtId="0" fontId="7" fillId="10" borderId="8" xfId="0" applyFont="1" applyFill="1" applyBorder="1" applyAlignment="1" applyProtection="1">
      <alignment horizontal="right" vertical="center" wrapText="1"/>
      <protection hidden="1"/>
    </xf>
    <xf numFmtId="0" fontId="0" fillId="0" borderId="9" xfId="0" applyBorder="1" applyAlignment="1">
      <alignment horizontal="right" vertical="center" wrapText="1"/>
    </xf>
    <xf numFmtId="0" fontId="6" fillId="6" borderId="8" xfId="0" applyFont="1" applyFill="1" applyBorder="1" applyAlignment="1" applyProtection="1">
      <alignment horizontal="left" wrapText="1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20" fillId="6" borderId="1" xfId="0" applyFont="1" applyFill="1" applyBorder="1" applyAlignment="1" applyProtection="1">
      <alignment horizontal="left" vertical="top" wrapText="1" indent="1"/>
      <protection hidden="1"/>
    </xf>
    <xf numFmtId="0" fontId="20" fillId="6" borderId="2" xfId="0" applyFont="1" applyFill="1" applyBorder="1" applyAlignment="1" applyProtection="1">
      <alignment horizontal="left" vertical="top" wrapText="1" indent="1"/>
      <protection hidden="1"/>
    </xf>
    <xf numFmtId="0" fontId="7" fillId="6" borderId="14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6" borderId="30" xfId="0" applyFont="1" applyFill="1" applyBorder="1" applyAlignment="1" applyProtection="1">
      <alignment horizontal="right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2" xfId="0" applyFont="1" applyFill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 applyProtection="1">
      <alignment horizontal="center" vertical="center"/>
      <protection hidden="1"/>
    </xf>
    <xf numFmtId="0" fontId="7" fillId="5" borderId="6" xfId="0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17" fillId="7" borderId="6" xfId="0" applyFont="1" applyFill="1" applyBorder="1" applyAlignment="1" applyProtection="1">
      <alignment horizontal="center" vertical="center"/>
      <protection hidden="1"/>
    </xf>
    <xf numFmtId="0" fontId="18" fillId="7" borderId="0" xfId="0" applyFont="1" applyFill="1" applyAlignment="1">
      <alignment/>
    </xf>
    <xf numFmtId="0" fontId="18" fillId="7" borderId="5" xfId="0" applyFont="1" applyFill="1" applyBorder="1" applyAlignment="1">
      <alignment/>
    </xf>
    <xf numFmtId="0" fontId="18" fillId="7" borderId="8" xfId="0" applyFont="1" applyFill="1" applyBorder="1" applyAlignment="1">
      <alignment/>
    </xf>
    <xf numFmtId="0" fontId="18" fillId="7" borderId="0" xfId="0" applyFont="1" applyFill="1" applyBorder="1" applyAlignment="1">
      <alignment/>
    </xf>
    <xf numFmtId="0" fontId="18" fillId="7" borderId="9" xfId="0" applyFont="1" applyFill="1" applyBorder="1" applyAlignment="1">
      <alignment/>
    </xf>
    <xf numFmtId="0" fontId="7" fillId="10" borderId="2" xfId="0" applyFont="1" applyFill="1" applyBorder="1" applyAlignment="1" applyProtection="1">
      <alignment horizontal="center" vertical="center" wrapText="1"/>
      <protection hidden="1"/>
    </xf>
    <xf numFmtId="0" fontId="7" fillId="10" borderId="3" xfId="0" applyFont="1" applyFill="1" applyBorder="1" applyAlignment="1" applyProtection="1">
      <alignment horizontal="center" vertical="center" wrapText="1"/>
      <protection hidden="1"/>
    </xf>
    <xf numFmtId="0" fontId="7" fillId="10" borderId="0" xfId="0" applyFont="1" applyFill="1" applyBorder="1" applyAlignment="1" applyProtection="1">
      <alignment horizontal="center" vertical="center" wrapText="1"/>
      <protection hidden="1"/>
    </xf>
    <xf numFmtId="0" fontId="7" fillId="10" borderId="5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4">
    <dxf>
      <font>
        <color rgb="FFFFFFFF"/>
      </font>
      <border/>
    </dxf>
    <dxf>
      <fill>
        <patternFill patternType="none">
          <bgColor indexed="65"/>
        </patternFill>
      </fill>
      <border/>
    </dxf>
    <dxf>
      <font>
        <color rgb="FFC0C0C0"/>
      </font>
      <border/>
    </dxf>
    <dxf>
      <fill>
        <patternFill>
          <bgColor rgb="FFFF6600"/>
        </patternFill>
      </fill>
      <border/>
    </dxf>
    <dxf>
      <font>
        <color rgb="FFFFFFFF"/>
      </font>
      <fill>
        <patternFill>
          <fgColor rgb="FFFFFFFF"/>
          <bgColor rgb="FFFFFF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CC99"/>
      </font>
      <border/>
    </dxf>
    <dxf>
      <font>
        <color auto="1"/>
      </font>
      <fill>
        <patternFill>
          <bgColor rgb="FFFFFFFF"/>
        </patternFill>
      </fill>
      <border/>
    </dxf>
    <dxf>
      <font>
        <b/>
        <i val="0"/>
        <color rgb="FFFFFF00"/>
      </font>
      <fill>
        <patternFill patternType="gray125">
          <fgColor rgb="FF008000"/>
          <bgColor rgb="FF008000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4.emf" /><Relationship Id="rId3" Type="http://schemas.openxmlformats.org/officeDocument/2006/relationships/image" Target="../media/image20.emf" /><Relationship Id="rId4" Type="http://schemas.openxmlformats.org/officeDocument/2006/relationships/image" Target="../media/image13.emf" /><Relationship Id="rId5" Type="http://schemas.openxmlformats.org/officeDocument/2006/relationships/image" Target="../media/image8.emf" /><Relationship Id="rId6" Type="http://schemas.openxmlformats.org/officeDocument/2006/relationships/image" Target="../media/image25.emf" /><Relationship Id="rId7" Type="http://schemas.openxmlformats.org/officeDocument/2006/relationships/image" Target="../media/image26.emf" /><Relationship Id="rId8" Type="http://schemas.openxmlformats.org/officeDocument/2006/relationships/image" Target="../media/image29.emf" /><Relationship Id="rId9" Type="http://schemas.openxmlformats.org/officeDocument/2006/relationships/image" Target="../media/image23.emf" /><Relationship Id="rId10" Type="http://schemas.openxmlformats.org/officeDocument/2006/relationships/image" Target="../media/image15.emf" /><Relationship Id="rId11" Type="http://schemas.openxmlformats.org/officeDocument/2006/relationships/image" Target="../media/image7.emf" /><Relationship Id="rId12" Type="http://schemas.openxmlformats.org/officeDocument/2006/relationships/image" Target="../media/image24.emf" /><Relationship Id="rId13" Type="http://schemas.openxmlformats.org/officeDocument/2006/relationships/image" Target="../media/image3.emf" /><Relationship Id="rId14" Type="http://schemas.openxmlformats.org/officeDocument/2006/relationships/image" Target="../media/image4.emf" /><Relationship Id="rId15" Type="http://schemas.openxmlformats.org/officeDocument/2006/relationships/image" Target="../media/image22.emf" /><Relationship Id="rId16" Type="http://schemas.openxmlformats.org/officeDocument/2006/relationships/image" Target="../media/image28.emf" /><Relationship Id="rId17" Type="http://schemas.openxmlformats.org/officeDocument/2006/relationships/image" Target="../media/image5.emf" /><Relationship Id="rId18" Type="http://schemas.openxmlformats.org/officeDocument/2006/relationships/image" Target="../media/image27.emf" /><Relationship Id="rId19" Type="http://schemas.openxmlformats.org/officeDocument/2006/relationships/image" Target="../media/image12.emf" /><Relationship Id="rId20" Type="http://schemas.openxmlformats.org/officeDocument/2006/relationships/image" Target="../media/image30.emf" /><Relationship Id="rId21" Type="http://schemas.openxmlformats.org/officeDocument/2006/relationships/image" Target="../media/image16.wmf" /><Relationship Id="rId22" Type="http://schemas.openxmlformats.org/officeDocument/2006/relationships/image" Target="../media/image17.emf" /><Relationship Id="rId23" Type="http://schemas.openxmlformats.org/officeDocument/2006/relationships/image" Target="../media/image1.emf" /><Relationship Id="rId24" Type="http://schemas.openxmlformats.org/officeDocument/2006/relationships/image" Target="../media/image18.emf" /><Relationship Id="rId25" Type="http://schemas.openxmlformats.org/officeDocument/2006/relationships/image" Target="../media/image10.emf" /><Relationship Id="rId26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28575</xdr:colOff>
      <xdr:row>10</xdr:row>
      <xdr:rowOff>9525</xdr:rowOff>
    </xdr:from>
    <xdr:to>
      <xdr:col>33</xdr:col>
      <xdr:colOff>409575</xdr:colOff>
      <xdr:row>10</xdr:row>
      <xdr:rowOff>257175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943225"/>
          <a:ext cx="1276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14</xdr:row>
      <xdr:rowOff>47625</xdr:rowOff>
    </xdr:from>
    <xdr:to>
      <xdr:col>33</xdr:col>
      <xdr:colOff>409575</xdr:colOff>
      <xdr:row>14</xdr:row>
      <xdr:rowOff>295275</xdr:rowOff>
    </xdr:to>
    <xdr:pic>
      <xdr:nvPicPr>
        <xdr:cNvPr id="2" name="Combo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4029075"/>
          <a:ext cx="1276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447675</xdr:colOff>
      <xdr:row>3</xdr:row>
      <xdr:rowOff>114300</xdr:rowOff>
    </xdr:from>
    <xdr:to>
      <xdr:col>33</xdr:col>
      <xdr:colOff>904875</xdr:colOff>
      <xdr:row>4</xdr:row>
      <xdr:rowOff>152400</xdr:rowOff>
    </xdr:to>
    <xdr:pic>
      <xdr:nvPicPr>
        <xdr:cNvPr id="3" name="Combo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1285875"/>
          <a:ext cx="1352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428625</xdr:colOff>
      <xdr:row>6</xdr:row>
      <xdr:rowOff>47625</xdr:rowOff>
    </xdr:from>
    <xdr:to>
      <xdr:col>34</xdr:col>
      <xdr:colOff>276225</xdr:colOff>
      <xdr:row>7</xdr:row>
      <xdr:rowOff>57150</xdr:rowOff>
    </xdr:to>
    <xdr:pic>
      <xdr:nvPicPr>
        <xdr:cNvPr id="4" name="Combo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" y="1914525"/>
          <a:ext cx="1981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123825</xdr:colOff>
      <xdr:row>7</xdr:row>
      <xdr:rowOff>38100</xdr:rowOff>
    </xdr:from>
    <xdr:to>
      <xdr:col>34</xdr:col>
      <xdr:colOff>276225</xdr:colOff>
      <xdr:row>8</xdr:row>
      <xdr:rowOff>47625</xdr:rowOff>
    </xdr:to>
    <xdr:pic>
      <xdr:nvPicPr>
        <xdr:cNvPr id="5" name="Combo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2171700"/>
          <a:ext cx="2286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12</xdr:row>
      <xdr:rowOff>0</xdr:rowOff>
    </xdr:from>
    <xdr:to>
      <xdr:col>33</xdr:col>
      <xdr:colOff>409575</xdr:colOff>
      <xdr:row>12</xdr:row>
      <xdr:rowOff>247650</xdr:rowOff>
    </xdr:to>
    <xdr:pic>
      <xdr:nvPicPr>
        <xdr:cNvPr id="6" name="Combo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" y="3467100"/>
          <a:ext cx="1276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800100</xdr:colOff>
      <xdr:row>7</xdr:row>
      <xdr:rowOff>38100</xdr:rowOff>
    </xdr:from>
    <xdr:to>
      <xdr:col>38</xdr:col>
      <xdr:colOff>66675</xdr:colOff>
      <xdr:row>7</xdr:row>
      <xdr:rowOff>257175</xdr:rowOff>
    </xdr:to>
    <xdr:pic>
      <xdr:nvPicPr>
        <xdr:cNvPr id="7" name="Combo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21717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790575</xdr:colOff>
      <xdr:row>8</xdr:row>
      <xdr:rowOff>57150</xdr:rowOff>
    </xdr:from>
    <xdr:to>
      <xdr:col>38</xdr:col>
      <xdr:colOff>57150</xdr:colOff>
      <xdr:row>9</xdr:row>
      <xdr:rowOff>9525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0" y="24574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781050</xdr:colOff>
      <xdr:row>9</xdr:row>
      <xdr:rowOff>57150</xdr:rowOff>
    </xdr:from>
    <xdr:to>
      <xdr:col>38</xdr:col>
      <xdr:colOff>47625</xdr:colOff>
      <xdr:row>10</xdr:row>
      <xdr:rowOff>9525</xdr:rowOff>
    </xdr:to>
    <xdr:pic>
      <xdr:nvPicPr>
        <xdr:cNvPr id="9" name="ComboBox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86725" y="27241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781050</xdr:colOff>
      <xdr:row>10</xdr:row>
      <xdr:rowOff>57150</xdr:rowOff>
    </xdr:from>
    <xdr:to>
      <xdr:col>38</xdr:col>
      <xdr:colOff>47625</xdr:colOff>
      <xdr:row>11</xdr:row>
      <xdr:rowOff>9525</xdr:rowOff>
    </xdr:to>
    <xdr:pic>
      <xdr:nvPicPr>
        <xdr:cNvPr id="10" name="ComboBox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86725" y="299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6</xdr:row>
      <xdr:rowOff>0</xdr:rowOff>
    </xdr:from>
    <xdr:to>
      <xdr:col>39</xdr:col>
      <xdr:colOff>219075</xdr:colOff>
      <xdr:row>7</xdr:row>
      <xdr:rowOff>9525</xdr:rowOff>
    </xdr:to>
    <xdr:pic>
      <xdr:nvPicPr>
        <xdr:cNvPr id="11" name="ComboBox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91625" y="1866900"/>
          <a:ext cx="219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161925</xdr:colOff>
      <xdr:row>6</xdr:row>
      <xdr:rowOff>28575</xdr:rowOff>
    </xdr:from>
    <xdr:to>
      <xdr:col>35</xdr:col>
      <xdr:colOff>695325</xdr:colOff>
      <xdr:row>6</xdr:row>
      <xdr:rowOff>238125</xdr:rowOff>
    </xdr:to>
    <xdr:sp>
      <xdr:nvSpPr>
        <xdr:cNvPr id="12" name="AutoShape 35"/>
        <xdr:cNvSpPr>
          <a:spLocks/>
        </xdr:cNvSpPr>
      </xdr:nvSpPr>
      <xdr:spPr>
        <a:xfrm>
          <a:off x="4400550" y="1895475"/>
          <a:ext cx="533400" cy="209550"/>
        </a:xfrm>
        <a:prstGeom prst="rightArrow">
          <a:avLst>
            <a:gd name="adj1" fmla="val 19643"/>
            <a:gd name="adj2" fmla="val -22726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33</xdr:col>
      <xdr:colOff>314325</xdr:colOff>
      <xdr:row>17</xdr:row>
      <xdr:rowOff>9525</xdr:rowOff>
    </xdr:from>
    <xdr:to>
      <xdr:col>34</xdr:col>
      <xdr:colOff>352425</xdr:colOff>
      <xdr:row>18</xdr:row>
      <xdr:rowOff>9525</xdr:rowOff>
    </xdr:to>
    <xdr:pic>
      <xdr:nvPicPr>
        <xdr:cNvPr id="13" name="ComboBox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76450" y="4848225"/>
          <a:ext cx="1276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314325</xdr:colOff>
      <xdr:row>19</xdr:row>
      <xdr:rowOff>0</xdr:rowOff>
    </xdr:from>
    <xdr:to>
      <xdr:col>34</xdr:col>
      <xdr:colOff>352425</xdr:colOff>
      <xdr:row>20</xdr:row>
      <xdr:rowOff>0</xdr:rowOff>
    </xdr:to>
    <xdr:pic>
      <xdr:nvPicPr>
        <xdr:cNvPr id="14" name="ComboBox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76450" y="5172075"/>
          <a:ext cx="1276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314325</xdr:colOff>
      <xdr:row>20</xdr:row>
      <xdr:rowOff>9525</xdr:rowOff>
    </xdr:from>
    <xdr:to>
      <xdr:col>34</xdr:col>
      <xdr:colOff>352425</xdr:colOff>
      <xdr:row>21</xdr:row>
      <xdr:rowOff>9525</xdr:rowOff>
    </xdr:to>
    <xdr:pic>
      <xdr:nvPicPr>
        <xdr:cNvPr id="15" name="ComboBox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76450" y="5429250"/>
          <a:ext cx="1276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22</xdr:row>
      <xdr:rowOff>0</xdr:rowOff>
    </xdr:from>
    <xdr:to>
      <xdr:col>34</xdr:col>
      <xdr:colOff>38100</xdr:colOff>
      <xdr:row>23</xdr:row>
      <xdr:rowOff>9525</xdr:rowOff>
    </xdr:to>
    <xdr:pic>
      <xdr:nvPicPr>
        <xdr:cNvPr id="16" name="ComboBox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62125" y="5943600"/>
          <a:ext cx="1276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22</xdr:row>
      <xdr:rowOff>0</xdr:rowOff>
    </xdr:from>
    <xdr:to>
      <xdr:col>35</xdr:col>
      <xdr:colOff>38100</xdr:colOff>
      <xdr:row>23</xdr:row>
      <xdr:rowOff>9525</xdr:rowOff>
    </xdr:to>
    <xdr:pic>
      <xdr:nvPicPr>
        <xdr:cNvPr id="17" name="ComboBox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00375" y="5943600"/>
          <a:ext cx="1276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1228725</xdr:colOff>
      <xdr:row>22</xdr:row>
      <xdr:rowOff>0</xdr:rowOff>
    </xdr:from>
    <xdr:to>
      <xdr:col>36</xdr:col>
      <xdr:colOff>28575</xdr:colOff>
      <xdr:row>23</xdr:row>
      <xdr:rowOff>9525</xdr:rowOff>
    </xdr:to>
    <xdr:pic>
      <xdr:nvPicPr>
        <xdr:cNvPr id="18" name="ComboBox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29100" y="5943600"/>
          <a:ext cx="1276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314325</xdr:colOff>
      <xdr:row>12</xdr:row>
      <xdr:rowOff>19050</xdr:rowOff>
    </xdr:from>
    <xdr:to>
      <xdr:col>41</xdr:col>
      <xdr:colOff>542925</xdr:colOff>
      <xdr:row>12</xdr:row>
      <xdr:rowOff>295275</xdr:rowOff>
    </xdr:to>
    <xdr:pic>
      <xdr:nvPicPr>
        <xdr:cNvPr id="19" name="ComboBox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391900" y="3486150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609600</xdr:colOff>
      <xdr:row>14</xdr:row>
      <xdr:rowOff>47625</xdr:rowOff>
    </xdr:from>
    <xdr:to>
      <xdr:col>42</xdr:col>
      <xdr:colOff>0</xdr:colOff>
      <xdr:row>14</xdr:row>
      <xdr:rowOff>276225</xdr:rowOff>
    </xdr:to>
    <xdr:pic>
      <xdr:nvPicPr>
        <xdr:cNvPr id="20" name="ComboBox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744200" y="4029075"/>
          <a:ext cx="1276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609600</xdr:colOff>
      <xdr:row>16</xdr:row>
      <xdr:rowOff>28575</xdr:rowOff>
    </xdr:from>
    <xdr:to>
      <xdr:col>42</xdr:col>
      <xdr:colOff>0</xdr:colOff>
      <xdr:row>16</xdr:row>
      <xdr:rowOff>257175</xdr:rowOff>
    </xdr:to>
    <xdr:pic>
      <xdr:nvPicPr>
        <xdr:cNvPr id="21" name="ComboBox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744200" y="4581525"/>
          <a:ext cx="1276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923925</xdr:colOff>
      <xdr:row>0</xdr:row>
      <xdr:rowOff>9525</xdr:rowOff>
    </xdr:from>
    <xdr:to>
      <xdr:col>41</xdr:col>
      <xdr:colOff>904875</xdr:colOff>
      <xdr:row>0</xdr:row>
      <xdr:rowOff>542925</xdr:rowOff>
    </xdr:to>
    <xdr:pic>
      <xdr:nvPicPr>
        <xdr:cNvPr id="22" name="Picture 6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058525" y="9525"/>
          <a:ext cx="923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219075</xdr:colOff>
      <xdr:row>16</xdr:row>
      <xdr:rowOff>9525</xdr:rowOff>
    </xdr:from>
    <xdr:to>
      <xdr:col>38</xdr:col>
      <xdr:colOff>438150</xdr:colOff>
      <xdr:row>16</xdr:row>
      <xdr:rowOff>276225</xdr:rowOff>
    </xdr:to>
    <xdr:pic>
      <xdr:nvPicPr>
        <xdr:cNvPr id="23" name="ComboBox1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467725" y="456247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1038225</xdr:colOff>
      <xdr:row>16</xdr:row>
      <xdr:rowOff>9525</xdr:rowOff>
    </xdr:from>
    <xdr:to>
      <xdr:col>36</xdr:col>
      <xdr:colOff>1238250</xdr:colOff>
      <xdr:row>16</xdr:row>
      <xdr:rowOff>276225</xdr:rowOff>
    </xdr:to>
    <xdr:pic>
      <xdr:nvPicPr>
        <xdr:cNvPr id="24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515100" y="4562475"/>
          <a:ext cx="200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1009650</xdr:colOff>
      <xdr:row>29</xdr:row>
      <xdr:rowOff>85725</xdr:rowOff>
    </xdr:from>
    <xdr:to>
      <xdr:col>36</xdr:col>
      <xdr:colOff>0</xdr:colOff>
      <xdr:row>30</xdr:row>
      <xdr:rowOff>333375</xdr:rowOff>
    </xdr:to>
    <xdr:sp>
      <xdr:nvSpPr>
        <xdr:cNvPr id="25" name="AutoShape 65"/>
        <xdr:cNvSpPr>
          <a:spLocks/>
        </xdr:cNvSpPr>
      </xdr:nvSpPr>
      <xdr:spPr>
        <a:xfrm>
          <a:off x="5248275" y="7105650"/>
          <a:ext cx="228600" cy="647700"/>
        </a:xfrm>
        <a:prstGeom prst="rightArrow">
          <a:avLst>
            <a:gd name="adj1" fmla="val 9999"/>
            <a:gd name="adj2" fmla="val -16129"/>
          </a:avLst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40</xdr:col>
      <xdr:colOff>228600</xdr:colOff>
      <xdr:row>8</xdr:row>
      <xdr:rowOff>38100</xdr:rowOff>
    </xdr:from>
    <xdr:to>
      <xdr:col>40</xdr:col>
      <xdr:colOff>438150</xdr:colOff>
      <xdr:row>8</xdr:row>
      <xdr:rowOff>257175</xdr:rowOff>
    </xdr:to>
    <xdr:pic>
      <xdr:nvPicPr>
        <xdr:cNvPr id="26" name="ComboBox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363200" y="24384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219075</xdr:colOff>
      <xdr:row>9</xdr:row>
      <xdr:rowOff>28575</xdr:rowOff>
    </xdr:from>
    <xdr:to>
      <xdr:col>40</xdr:col>
      <xdr:colOff>428625</xdr:colOff>
      <xdr:row>9</xdr:row>
      <xdr:rowOff>247650</xdr:rowOff>
    </xdr:to>
    <xdr:pic>
      <xdr:nvPicPr>
        <xdr:cNvPr id="27" name="ComboBox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353675" y="26955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219075</xdr:colOff>
      <xdr:row>10</xdr:row>
      <xdr:rowOff>19050</xdr:rowOff>
    </xdr:from>
    <xdr:to>
      <xdr:col>40</xdr:col>
      <xdr:colOff>428625</xdr:colOff>
      <xdr:row>10</xdr:row>
      <xdr:rowOff>238125</xdr:rowOff>
    </xdr:to>
    <xdr:pic>
      <xdr:nvPicPr>
        <xdr:cNvPr id="28" name="ComboBox1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353675" y="29527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AS428"/>
  <sheetViews>
    <sheetView tabSelected="1" workbookViewId="0" topLeftCell="AF1">
      <selection activeCell="BI10" sqref="BI10"/>
    </sheetView>
  </sheetViews>
  <sheetFormatPr defaultColWidth="11.421875" defaultRowHeight="12.75"/>
  <cols>
    <col min="1" max="1" width="0.13671875" style="1" hidden="1" customWidth="1"/>
    <col min="2" max="2" width="12.7109375" style="1" hidden="1" customWidth="1"/>
    <col min="3" max="3" width="6.7109375" style="1" hidden="1" customWidth="1"/>
    <col min="4" max="6" width="12.7109375" style="1" hidden="1" customWidth="1"/>
    <col min="7" max="7" width="3.8515625" style="1" hidden="1" customWidth="1"/>
    <col min="8" max="8" width="12.7109375" style="1" hidden="1" customWidth="1"/>
    <col min="9" max="11" width="12.7109375" style="75" hidden="1" customWidth="1"/>
    <col min="12" max="12" width="3.7109375" style="75" hidden="1" customWidth="1"/>
    <col min="13" max="13" width="2.421875" style="75" hidden="1" customWidth="1"/>
    <col min="14" max="14" width="3.7109375" style="75" hidden="1" customWidth="1"/>
    <col min="15" max="15" width="7.28125" style="75" hidden="1" customWidth="1"/>
    <col min="16" max="16" width="5.8515625" style="75" hidden="1" customWidth="1"/>
    <col min="17" max="18" width="4.57421875" style="75" hidden="1" customWidth="1"/>
    <col min="19" max="19" width="2.7109375" style="75" hidden="1" customWidth="1"/>
    <col min="20" max="24" width="4.57421875" style="75" hidden="1" customWidth="1"/>
    <col min="25" max="25" width="3.00390625" style="75" hidden="1" customWidth="1"/>
    <col min="26" max="27" width="4.57421875" style="75" hidden="1" customWidth="1"/>
    <col min="28" max="28" width="6.140625" style="75" hidden="1" customWidth="1"/>
    <col min="29" max="29" width="5.8515625" style="194" hidden="1" customWidth="1"/>
    <col min="30" max="30" width="23.140625" style="75" hidden="1" customWidth="1"/>
    <col min="31" max="31" width="17.57421875" style="75" hidden="1" customWidth="1"/>
    <col min="32" max="32" width="13.00390625" style="75" customWidth="1"/>
    <col min="33" max="33" width="13.421875" style="75" customWidth="1"/>
    <col min="34" max="36" width="18.57421875" style="75" customWidth="1"/>
    <col min="37" max="37" width="27.421875" style="75" customWidth="1"/>
    <col min="38" max="41" width="14.140625" style="75" customWidth="1"/>
    <col min="42" max="42" width="14.140625" style="77" customWidth="1"/>
    <col min="43" max="46" width="11.421875" style="75" customWidth="1"/>
    <col min="47" max="47" width="11.421875" style="1" customWidth="1"/>
    <col min="48" max="48" width="3.140625" style="1" customWidth="1"/>
    <col min="49" max="58" width="11.421875" style="1" hidden="1" customWidth="1"/>
    <col min="59" max="16384" width="11.421875" style="1" customWidth="1"/>
  </cols>
  <sheetData>
    <row r="1" spans="29:35" ht="54.75" customHeight="1">
      <c r="AC1" s="195"/>
      <c r="AF1" s="400" t="s">
        <v>168</v>
      </c>
      <c r="AG1" s="401"/>
      <c r="AH1" s="401"/>
      <c r="AI1" s="402"/>
    </row>
    <row r="2" spans="1:33" ht="18.75" customHeight="1">
      <c r="A2" s="419" t="s">
        <v>71</v>
      </c>
      <c r="B2" s="419"/>
      <c r="C2" s="419"/>
      <c r="D2" s="419"/>
      <c r="E2" s="419"/>
      <c r="F2" s="419"/>
      <c r="G2" s="419"/>
      <c r="H2" s="76"/>
      <c r="I2" s="76"/>
      <c r="J2" s="76"/>
      <c r="K2" s="76"/>
      <c r="L2" s="76"/>
      <c r="M2" s="76"/>
      <c r="N2" s="76" t="s">
        <v>53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104"/>
      <c r="AD2" s="77"/>
      <c r="AE2" s="77"/>
      <c r="AF2" s="376" t="s">
        <v>215</v>
      </c>
      <c r="AG2" s="77"/>
    </row>
    <row r="3" spans="1:42" ht="18.75" customHeight="1">
      <c r="A3" s="78" t="s">
        <v>98</v>
      </c>
      <c r="B3" s="79" t="str">
        <f>AD3</f>
        <v>Fichte</v>
      </c>
      <c r="C3" s="80"/>
      <c r="D3" s="80"/>
      <c r="F3" s="79"/>
      <c r="H3" s="77"/>
      <c r="I3" s="77"/>
      <c r="J3" s="77"/>
      <c r="K3" s="77"/>
      <c r="L3" s="77"/>
      <c r="M3" s="77"/>
      <c r="N3" s="81">
        <v>1</v>
      </c>
      <c r="O3" s="77" t="str">
        <f>'DB Maßeinheiten'!S$6</f>
        <v>Einheit</v>
      </c>
      <c r="P3" s="77" t="str">
        <f>'DB Maßeinheiten'!T$6</f>
        <v>Umr_Einheit</v>
      </c>
      <c r="Q3" s="77" t="str">
        <f>'DB Maßeinheiten'!U$6</f>
        <v>Anbot frei Straße</v>
      </c>
      <c r="R3" s="77" t="str">
        <f>'DB Maßeinheiten'!V$6</f>
        <v>Umr_Faktor</v>
      </c>
      <c r="S3" s="77" t="str">
        <f>'DB Maßeinheiten'!W$6</f>
        <v>Preis frei Werk</v>
      </c>
      <c r="T3" s="77" t="str">
        <f>'DB Maßeinheiten'!X$6</f>
        <v>Kosten frei Werk</v>
      </c>
      <c r="U3" s="77" t="str">
        <f>'DB Maßeinheiten'!Y$6</f>
        <v>Anbot frei Werk</v>
      </c>
      <c r="V3" s="77" t="str">
        <f>'DB Maßeinheiten'!Z$6</f>
        <v>Kosten frei Straße</v>
      </c>
      <c r="W3" s="77" t="str">
        <f>'DB Maßeinheiten'!AA$6</f>
        <v>Preis frei Straße</v>
      </c>
      <c r="X3" s="77" t="str">
        <f>'DB Maßeinheiten'!AB$6</f>
        <v>D</v>
      </c>
      <c r="Y3" s="77">
        <f>'DB Maßeinheiten'!AC$6</f>
        <v>0</v>
      </c>
      <c r="Z3" s="77">
        <f>'DB Maßeinheiten'!AD$6</f>
        <v>0</v>
      </c>
      <c r="AA3" s="77">
        <f>'DB Maßeinheiten'!AE$6</f>
        <v>0</v>
      </c>
      <c r="AB3" s="77">
        <f>'DB Maßeinheiten'!AF$6</f>
        <v>0</v>
      </c>
      <c r="AC3" s="195"/>
      <c r="AD3" s="346" t="s">
        <v>1</v>
      </c>
      <c r="AF3" s="430" t="s">
        <v>151</v>
      </c>
      <c r="AG3" s="431"/>
      <c r="AH3" s="431"/>
      <c r="AI3" s="276" t="s">
        <v>154</v>
      </c>
      <c r="AJ3" s="279">
        <f>DGET('DB Baumarten'!$A$1:$J$99,'DB Baumarten'!$B$1,'DB Baumarten'!$K$1:$M$2)</f>
        <v>0.12</v>
      </c>
      <c r="AK3" s="84"/>
      <c r="AL3" s="84"/>
      <c r="AM3" s="84"/>
      <c r="AN3" s="84"/>
      <c r="AO3" s="84"/>
      <c r="AP3" s="260" t="s">
        <v>216</v>
      </c>
    </row>
    <row r="4" spans="1:42" ht="18.75" customHeight="1">
      <c r="A4" s="78" t="s">
        <v>99</v>
      </c>
      <c r="B4" s="79" t="s">
        <v>33</v>
      </c>
      <c r="C4" s="80"/>
      <c r="D4" s="80"/>
      <c r="F4" s="79"/>
      <c r="H4" s="77"/>
      <c r="I4" s="77"/>
      <c r="J4" s="77"/>
      <c r="K4" s="77"/>
      <c r="L4" s="77"/>
      <c r="M4" s="77"/>
      <c r="N4" s="81"/>
      <c r="O4" s="77" t="str">
        <f>AM22</f>
        <v>FMO</v>
      </c>
      <c r="P4" s="77" t="str">
        <f>AL22</f>
        <v>FMO</v>
      </c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195"/>
      <c r="AD4" s="344"/>
      <c r="AF4" s="284"/>
      <c r="AG4" s="290"/>
      <c r="AH4" s="290"/>
      <c r="AI4" s="277" t="s">
        <v>59</v>
      </c>
      <c r="AJ4" s="280">
        <f>DGET('DB Baumarten'!$A$1:$J$99,'DB Baumarten'!$D$1,'DB Baumarten'!$K$1:$M$2)</f>
        <v>475</v>
      </c>
      <c r="AK4" s="77" t="s">
        <v>206</v>
      </c>
      <c r="AL4" s="77"/>
      <c r="AM4" s="77"/>
      <c r="AN4" s="77"/>
      <c r="AO4" s="77"/>
      <c r="AP4" s="85"/>
    </row>
    <row r="5" spans="1:42" ht="15">
      <c r="A5" s="86"/>
      <c r="B5" s="87"/>
      <c r="C5" s="87"/>
      <c r="D5" s="87"/>
      <c r="F5" s="88"/>
      <c r="H5" s="81"/>
      <c r="I5" s="77"/>
      <c r="J5" s="77"/>
      <c r="K5" s="77"/>
      <c r="L5" s="77"/>
      <c r="M5" s="77"/>
      <c r="N5" s="81">
        <v>2</v>
      </c>
      <c r="O5" s="77" t="str">
        <f aca="true" t="shared" si="0" ref="O5:AB5">O$3</f>
        <v>Einheit</v>
      </c>
      <c r="P5" s="77" t="str">
        <f t="shared" si="0"/>
        <v>Umr_Einheit</v>
      </c>
      <c r="Q5" s="77" t="str">
        <f t="shared" si="0"/>
        <v>Anbot frei Straße</v>
      </c>
      <c r="R5" s="77" t="str">
        <f t="shared" si="0"/>
        <v>Umr_Faktor</v>
      </c>
      <c r="S5" s="77" t="str">
        <f t="shared" si="0"/>
        <v>Preis frei Werk</v>
      </c>
      <c r="T5" s="77" t="str">
        <f t="shared" si="0"/>
        <v>Kosten frei Werk</v>
      </c>
      <c r="U5" s="77" t="str">
        <f t="shared" si="0"/>
        <v>Anbot frei Werk</v>
      </c>
      <c r="V5" s="77" t="str">
        <f t="shared" si="0"/>
        <v>Kosten frei Straße</v>
      </c>
      <c r="W5" s="77" t="str">
        <f t="shared" si="0"/>
        <v>Preis frei Straße</v>
      </c>
      <c r="X5" s="77" t="str">
        <f t="shared" si="0"/>
        <v>D</v>
      </c>
      <c r="Y5" s="77">
        <f t="shared" si="0"/>
        <v>0</v>
      </c>
      <c r="Z5" s="77">
        <f t="shared" si="0"/>
        <v>0</v>
      </c>
      <c r="AA5" s="77">
        <f t="shared" si="0"/>
        <v>0</v>
      </c>
      <c r="AB5" s="77">
        <f t="shared" si="0"/>
        <v>0</v>
      </c>
      <c r="AC5" s="195"/>
      <c r="AD5" s="344"/>
      <c r="AF5" s="89"/>
      <c r="AG5" s="76"/>
      <c r="AH5" s="76"/>
      <c r="AI5" s="278" t="s">
        <v>60</v>
      </c>
      <c r="AJ5" s="281">
        <f>DGET('DB Baumarten'!$A$1:$J$99,'DB Baumarten'!$E$1,'DB Baumarten'!$K$1:$M$2)</f>
        <v>430</v>
      </c>
      <c r="AK5" s="76" t="s">
        <v>207</v>
      </c>
      <c r="AL5" s="76"/>
      <c r="AM5" s="76"/>
      <c r="AN5" s="76"/>
      <c r="AO5" s="76"/>
      <c r="AP5" s="90"/>
    </row>
    <row r="6" spans="1:42" ht="21" customHeight="1">
      <c r="A6" s="91" t="s">
        <v>58</v>
      </c>
      <c r="B6" s="420" t="s">
        <v>48</v>
      </c>
      <c r="C6" s="421"/>
      <c r="D6" s="422" t="s">
        <v>40</v>
      </c>
      <c r="E6" s="423"/>
      <c r="F6" s="424" t="s">
        <v>41</v>
      </c>
      <c r="G6" s="425"/>
      <c r="H6" s="77"/>
      <c r="I6" s="77"/>
      <c r="J6" s="77"/>
      <c r="K6" s="77"/>
      <c r="L6" s="77"/>
      <c r="M6" s="77"/>
      <c r="N6" s="81"/>
      <c r="O6" s="77" t="str">
        <f>AL22</f>
        <v>FMO</v>
      </c>
      <c r="P6" s="77" t="str">
        <f>AL22</f>
        <v>FMO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195"/>
      <c r="AD6" s="344"/>
      <c r="AF6" s="367" t="s">
        <v>147</v>
      </c>
      <c r="AG6" s="77"/>
      <c r="AH6" s="77"/>
      <c r="AI6" s="77"/>
      <c r="AJ6" s="77"/>
      <c r="AK6" s="285">
        <f>IF($E$47=0,0,"2.b) Raummaßfaktor Industrie-Langholz")</f>
        <v>0</v>
      </c>
      <c r="AL6" s="77"/>
      <c r="AM6" s="77"/>
      <c r="AN6" s="385">
        <f>IF($E$47=0,0,IF($AM$7="-",0,"= "))</f>
        <v>0</v>
      </c>
      <c r="AO6" s="386">
        <f>IF($E$47=0,0,IF($AM$7="-",0,O31))</f>
        <v>0</v>
      </c>
      <c r="AP6" s="384">
        <f>IF($E$47=0,0,IF($AM$7="-",0," fm je rm"))</f>
        <v>0</v>
      </c>
    </row>
    <row r="7" spans="1:42" ht="21" customHeight="1">
      <c r="A7" s="92" t="str">
        <f>'DB Maßeinheiten'!A7</f>
        <v>FMO</v>
      </c>
      <c r="B7" s="404">
        <f aca="true" t="shared" si="1" ref="B7:B12">IF($A7=$AG$39,$AH$39,IF(A7=$AG$42,$AH$42,IF(A7=$AG$43,$AH$43,0)))</f>
        <v>0</v>
      </c>
      <c r="C7" s="404"/>
      <c r="D7" s="405">
        <f aca="true" t="shared" si="2" ref="D7:D13">IF(A7=$AG$39,$AI$39,IF(A7=$AG$42,$AI$42,IF(A7=$AG$43,$AI$43,0)))</f>
        <v>0</v>
      </c>
      <c r="E7" s="406"/>
      <c r="F7" s="93" t="s">
        <v>46</v>
      </c>
      <c r="G7" s="94" t="str">
        <f>A7</f>
        <v>FMO</v>
      </c>
      <c r="H7" s="77"/>
      <c r="I7" s="77"/>
      <c r="J7" s="77"/>
      <c r="K7" s="77"/>
      <c r="L7" s="77"/>
      <c r="M7" s="77"/>
      <c r="N7" s="81">
        <v>3</v>
      </c>
      <c r="O7" s="77" t="str">
        <f aca="true" t="shared" si="3" ref="O7:AB7">O$3</f>
        <v>Einheit</v>
      </c>
      <c r="P7" s="77" t="str">
        <f t="shared" si="3"/>
        <v>Umr_Einheit</v>
      </c>
      <c r="Q7" s="77" t="str">
        <f t="shared" si="3"/>
        <v>Anbot frei Straße</v>
      </c>
      <c r="R7" s="77" t="str">
        <f t="shared" si="3"/>
        <v>Umr_Faktor</v>
      </c>
      <c r="S7" s="77" t="str">
        <f t="shared" si="3"/>
        <v>Preis frei Werk</v>
      </c>
      <c r="T7" s="77" t="str">
        <f t="shared" si="3"/>
        <v>Kosten frei Werk</v>
      </c>
      <c r="U7" s="77" t="str">
        <f t="shared" si="3"/>
        <v>Anbot frei Werk</v>
      </c>
      <c r="V7" s="77" t="str">
        <f t="shared" si="3"/>
        <v>Kosten frei Straße</v>
      </c>
      <c r="W7" s="77" t="str">
        <f t="shared" si="3"/>
        <v>Preis frei Straße</v>
      </c>
      <c r="X7" s="77" t="str">
        <f t="shared" si="3"/>
        <v>D</v>
      </c>
      <c r="Y7" s="77">
        <f t="shared" si="3"/>
        <v>0</v>
      </c>
      <c r="Z7" s="77">
        <f t="shared" si="3"/>
        <v>0</v>
      </c>
      <c r="AA7" s="77">
        <f t="shared" si="3"/>
        <v>0</v>
      </c>
      <c r="AB7" s="77">
        <f t="shared" si="3"/>
        <v>0</v>
      </c>
      <c r="AC7" s="195"/>
      <c r="AD7" s="344"/>
      <c r="AF7" s="364" t="s">
        <v>86</v>
      </c>
      <c r="AG7" s="77"/>
      <c r="AH7" s="77"/>
      <c r="AI7" s="77"/>
      <c r="AJ7" s="77">
        <f>E46</f>
        <v>1</v>
      </c>
      <c r="AK7" s="79">
        <f>IF(E47=0,0,"a) Media in cm")</f>
        <v>0</v>
      </c>
      <c r="AL7" s="77"/>
      <c r="AM7" s="392">
        <f>IF(E46=1,0,O25)</f>
        <v>0</v>
      </c>
      <c r="AN7" s="77"/>
      <c r="AO7" s="77"/>
      <c r="AP7" s="85"/>
    </row>
    <row r="8" spans="1:42" ht="21" customHeight="1">
      <c r="A8" s="92" t="str">
        <f>'DB Maßeinheiten'!A8</f>
        <v>FMM</v>
      </c>
      <c r="B8" s="404">
        <f t="shared" si="1"/>
        <v>0</v>
      </c>
      <c r="C8" s="404"/>
      <c r="D8" s="405">
        <f t="shared" si="2"/>
        <v>0</v>
      </c>
      <c r="E8" s="406"/>
      <c r="F8" s="93" t="s">
        <v>46</v>
      </c>
      <c r="G8" s="94" t="str">
        <f aca="true" t="shared" si="4" ref="G8:G16">A8</f>
        <v>FMM</v>
      </c>
      <c r="H8" s="77"/>
      <c r="I8" s="77"/>
      <c r="J8" s="77"/>
      <c r="K8" s="77"/>
      <c r="L8" s="77"/>
      <c r="M8" s="77"/>
      <c r="N8" s="81"/>
      <c r="O8" s="77" t="str">
        <f>AN22</f>
        <v>FMO</v>
      </c>
      <c r="P8" s="77" t="str">
        <f>AL22</f>
        <v>FMO</v>
      </c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195"/>
      <c r="AD8" s="344"/>
      <c r="AF8" s="364" t="s">
        <v>87</v>
      </c>
      <c r="AG8" s="77"/>
      <c r="AH8" s="95"/>
      <c r="AI8" s="77"/>
      <c r="AJ8" s="77"/>
      <c r="AK8" s="79">
        <f>IF(E47=0,0,"b) Geradheit")</f>
        <v>0</v>
      </c>
      <c r="AL8" s="77">
        <f>IF(AK7=0,0,P27)</f>
        <v>0</v>
      </c>
      <c r="AM8" s="77"/>
      <c r="AN8" s="77"/>
      <c r="AO8" s="77"/>
      <c r="AP8" s="85"/>
    </row>
    <row r="9" spans="1:42" ht="21" customHeight="1">
      <c r="A9" s="92" t="str">
        <f>'DB Maßeinheiten'!A9</f>
        <v>RMO</v>
      </c>
      <c r="B9" s="404">
        <f t="shared" si="1"/>
        <v>0</v>
      </c>
      <c r="C9" s="404"/>
      <c r="D9" s="405">
        <f t="shared" si="2"/>
        <v>0</v>
      </c>
      <c r="E9" s="406"/>
      <c r="F9" s="93" t="s">
        <v>46</v>
      </c>
      <c r="G9" s="94" t="str">
        <f t="shared" si="4"/>
        <v>RMO</v>
      </c>
      <c r="H9" s="77"/>
      <c r="I9" s="77"/>
      <c r="J9" s="77"/>
      <c r="K9" s="77"/>
      <c r="L9" s="77"/>
      <c r="M9" s="77"/>
      <c r="N9" s="81">
        <v>4</v>
      </c>
      <c r="O9" s="77" t="str">
        <f aca="true" t="shared" si="5" ref="O9:AB9">O$3</f>
        <v>Einheit</v>
      </c>
      <c r="P9" s="77" t="str">
        <f t="shared" si="5"/>
        <v>Umr_Einheit</v>
      </c>
      <c r="Q9" s="77" t="str">
        <f t="shared" si="5"/>
        <v>Anbot frei Straße</v>
      </c>
      <c r="R9" s="77" t="str">
        <f t="shared" si="5"/>
        <v>Umr_Faktor</v>
      </c>
      <c r="S9" s="77" t="str">
        <f t="shared" si="5"/>
        <v>Preis frei Werk</v>
      </c>
      <c r="T9" s="77" t="str">
        <f t="shared" si="5"/>
        <v>Kosten frei Werk</v>
      </c>
      <c r="U9" s="77" t="str">
        <f t="shared" si="5"/>
        <v>Anbot frei Werk</v>
      </c>
      <c r="V9" s="77" t="str">
        <f t="shared" si="5"/>
        <v>Kosten frei Straße</v>
      </c>
      <c r="W9" s="77" t="str">
        <f t="shared" si="5"/>
        <v>Preis frei Straße</v>
      </c>
      <c r="X9" s="77" t="str">
        <f t="shared" si="5"/>
        <v>D</v>
      </c>
      <c r="Y9" s="77">
        <f t="shared" si="5"/>
        <v>0</v>
      </c>
      <c r="Z9" s="77">
        <f t="shared" si="5"/>
        <v>0</v>
      </c>
      <c r="AA9" s="77">
        <f t="shared" si="5"/>
        <v>0</v>
      </c>
      <c r="AB9" s="77">
        <f t="shared" si="5"/>
        <v>0</v>
      </c>
      <c r="AC9" s="195"/>
      <c r="AD9" s="344"/>
      <c r="AF9" s="89"/>
      <c r="AG9" s="76"/>
      <c r="AH9" s="76"/>
      <c r="AI9" s="76"/>
      <c r="AJ9" s="76"/>
      <c r="AK9" s="79">
        <f>IF(AK6=0,0,"c) Längen")</f>
        <v>0</v>
      </c>
      <c r="AL9" s="296">
        <f>IF(AK7=0,0,S27)</f>
        <v>0</v>
      </c>
      <c r="AM9" s="297">
        <f>IF($AK$6=0,0,"Meter")</f>
        <v>0</v>
      </c>
      <c r="AN9" s="391">
        <f>IF($AK$6=0,0,T27)</f>
        <v>0</v>
      </c>
      <c r="AO9" s="298">
        <f>IF($AK$6=0,0,"%")</f>
        <v>0</v>
      </c>
      <c r="AP9" s="301">
        <f>IF($AK$6=0,0,"Anteil")</f>
        <v>0</v>
      </c>
    </row>
    <row r="10" spans="1:42" ht="21" customHeight="1">
      <c r="A10" s="92" t="str">
        <f>'DB Maßeinheiten'!A10</f>
        <v>RMM</v>
      </c>
      <c r="B10" s="404">
        <f t="shared" si="1"/>
        <v>0</v>
      </c>
      <c r="C10" s="404"/>
      <c r="D10" s="405">
        <f t="shared" si="2"/>
        <v>0</v>
      </c>
      <c r="E10" s="406"/>
      <c r="F10" s="93" t="s">
        <v>46</v>
      </c>
      <c r="G10" s="94" t="str">
        <f t="shared" si="4"/>
        <v>RMM</v>
      </c>
      <c r="H10" s="77"/>
      <c r="I10" s="77"/>
      <c r="J10" s="77"/>
      <c r="K10" s="77"/>
      <c r="L10" s="77"/>
      <c r="M10" s="77"/>
      <c r="N10" s="81"/>
      <c r="O10" s="77" t="str">
        <f>AO22</f>
        <v>FMO</v>
      </c>
      <c r="P10" s="77" t="str">
        <f>AO22</f>
        <v>FMO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195"/>
      <c r="AD10" s="344"/>
      <c r="AF10" s="368" t="s">
        <v>146</v>
      </c>
      <c r="AG10" s="77"/>
      <c r="AH10" s="286"/>
      <c r="AI10" s="288">
        <f>IF(AD11=A21,0,IF(AD11=AD18,AH38,0))</f>
        <v>0</v>
      </c>
      <c r="AJ10" s="289">
        <f>IF(AD11=A21,0,IF(AD11=AD18,AI38,0))</f>
        <v>0</v>
      </c>
      <c r="AK10" s="96"/>
      <c r="AL10" s="296">
        <f>IF(AK7=0,0,S28)</f>
        <v>0</v>
      </c>
      <c r="AM10" s="297">
        <f>IF($AK$6=0,0,"Meter")</f>
        <v>0</v>
      </c>
      <c r="AN10" s="391">
        <f>IF($AK$6=0,0,T28)</f>
        <v>0</v>
      </c>
      <c r="AO10" s="298">
        <f>IF($AK$6=0,0,"%")</f>
        <v>0</v>
      </c>
      <c r="AP10" s="301">
        <f>IF($AK$6=0,0,"Anteil")</f>
        <v>0</v>
      </c>
    </row>
    <row r="11" spans="1:42" ht="21" customHeight="1">
      <c r="A11" s="92" t="str">
        <f>'DB Maßeinheiten'!A11</f>
        <v>Srm O</v>
      </c>
      <c r="B11" s="404">
        <f t="shared" si="1"/>
        <v>0</v>
      </c>
      <c r="C11" s="404"/>
      <c r="D11" s="405">
        <f t="shared" si="2"/>
        <v>0</v>
      </c>
      <c r="E11" s="406"/>
      <c r="F11" s="93" t="s">
        <v>46</v>
      </c>
      <c r="G11" s="94" t="str">
        <f t="shared" si="4"/>
        <v>Srm O</v>
      </c>
      <c r="H11" s="77"/>
      <c r="I11" s="77"/>
      <c r="J11" s="77"/>
      <c r="K11" s="77"/>
      <c r="L11" s="77"/>
      <c r="M11" s="77"/>
      <c r="N11" s="81">
        <v>5</v>
      </c>
      <c r="O11" s="77" t="str">
        <f aca="true" t="shared" si="6" ref="O11:AB11">O$3</f>
        <v>Einheit</v>
      </c>
      <c r="P11" s="77" t="str">
        <f t="shared" si="6"/>
        <v>Umr_Einheit</v>
      </c>
      <c r="Q11" s="77" t="str">
        <f t="shared" si="6"/>
        <v>Anbot frei Straße</v>
      </c>
      <c r="R11" s="77" t="str">
        <f t="shared" si="6"/>
        <v>Umr_Faktor</v>
      </c>
      <c r="S11" s="77" t="str">
        <f t="shared" si="6"/>
        <v>Preis frei Werk</v>
      </c>
      <c r="T11" s="77" t="str">
        <f t="shared" si="6"/>
        <v>Kosten frei Werk</v>
      </c>
      <c r="U11" s="77" t="str">
        <f t="shared" si="6"/>
        <v>Anbot frei Werk</v>
      </c>
      <c r="V11" s="77" t="str">
        <f t="shared" si="6"/>
        <v>Kosten frei Straße</v>
      </c>
      <c r="W11" s="77" t="str">
        <f t="shared" si="6"/>
        <v>Preis frei Straße</v>
      </c>
      <c r="X11" s="77" t="str">
        <f t="shared" si="6"/>
        <v>D</v>
      </c>
      <c r="Y11" s="77">
        <f t="shared" si="6"/>
        <v>0</v>
      </c>
      <c r="Z11" s="77">
        <f t="shared" si="6"/>
        <v>0</v>
      </c>
      <c r="AA11" s="77">
        <f t="shared" si="6"/>
        <v>0</v>
      </c>
      <c r="AB11" s="77">
        <f t="shared" si="6"/>
        <v>0</v>
      </c>
      <c r="AC11" s="195"/>
      <c r="AD11" s="347" t="s">
        <v>0</v>
      </c>
      <c r="AF11" s="97">
        <v>1</v>
      </c>
      <c r="AG11" s="77"/>
      <c r="AH11" s="98">
        <f>IF(SUM($AH$39:$AI$39)=0,0,"á Euro")</f>
        <v>0</v>
      </c>
      <c r="AI11" s="287">
        <f>IF(AD18=A21,0,IF(AD18=AD11,DGET(AG38:AI43,AH38,AK38:AL39),"Einheit od. Preis"))</f>
        <v>0</v>
      </c>
      <c r="AJ11" s="287">
        <f>IF(AD18=A21,0,IF(AD18=AD11,DGET(AG38:AI43,AI38,AK38:AM39)," falsch!!"))</f>
        <v>0</v>
      </c>
      <c r="AK11" s="96"/>
      <c r="AL11" s="296">
        <f>IF(AK6=0,0,S29)</f>
        <v>0</v>
      </c>
      <c r="AM11" s="297">
        <f>IF($AK$6=0,0,"Meter")</f>
        <v>0</v>
      </c>
      <c r="AN11" s="391">
        <f>IF($AK$6=0,0,T29)</f>
        <v>0</v>
      </c>
      <c r="AO11" s="298">
        <f>IF($AK$6=0,0,"%")</f>
        <v>0</v>
      </c>
      <c r="AP11" s="301">
        <f>IF($AK$6=0,0,"Anteil")</f>
        <v>0</v>
      </c>
    </row>
    <row r="12" spans="1:42" ht="21" customHeight="1" thickBot="1">
      <c r="A12" s="92" t="str">
        <f>'DB Maßeinheiten'!A12</f>
        <v>Srm M</v>
      </c>
      <c r="B12" s="404">
        <f t="shared" si="1"/>
        <v>0</v>
      </c>
      <c r="C12" s="404"/>
      <c r="D12" s="405">
        <f t="shared" si="2"/>
        <v>0</v>
      </c>
      <c r="E12" s="406"/>
      <c r="F12" s="93" t="s">
        <v>46</v>
      </c>
      <c r="G12" s="94" t="str">
        <f t="shared" si="4"/>
        <v>Srm M</v>
      </c>
      <c r="H12" s="77"/>
      <c r="I12" s="77"/>
      <c r="J12" s="77"/>
      <c r="K12" s="77"/>
      <c r="L12" s="77"/>
      <c r="M12" s="77"/>
      <c r="N12" s="81"/>
      <c r="O12" s="77" t="str">
        <f>AP22</f>
        <v>FMO</v>
      </c>
      <c r="P12" s="77" t="str">
        <f>AP22</f>
        <v>FMO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195"/>
      <c r="AD12" s="344"/>
      <c r="AF12" s="97" t="s">
        <v>63</v>
      </c>
      <c r="AG12" s="99"/>
      <c r="AH12" s="77"/>
      <c r="AI12" s="77"/>
      <c r="AJ12" s="100"/>
      <c r="AK12" s="270">
        <f>IF(AK6=0,0,"Durchschnittliche Länge")</f>
        <v>0</v>
      </c>
      <c r="AL12" s="268">
        <f>IF(AK6=0,0,U33)</f>
        <v>0</v>
      </c>
      <c r="AM12" s="299">
        <f>IF($AK$6=0,0,"Meter")</f>
        <v>0</v>
      </c>
      <c r="AN12" s="300">
        <f>IF(AK6=0,0,AN9+AN10+AN11)</f>
        <v>0</v>
      </c>
      <c r="AO12" s="294">
        <f>IF($AK$6=0,0,"%")</f>
        <v>0</v>
      </c>
      <c r="AP12" s="295">
        <f>IF($AK$6=0,0,"Anteil")</f>
        <v>0</v>
      </c>
    </row>
    <row r="13" spans="1:42" ht="25.5" customHeight="1" thickTop="1">
      <c r="A13" s="92" t="str">
        <f>'DB Maßeinheiten'!A13</f>
        <v>AMM</v>
      </c>
      <c r="B13" s="404">
        <f>IF($A13=$AG$39,$AH$39,IF(A13=$AG$42,$AH$42,IF(A13=$AG$43,$AH$43,0)))</f>
        <v>0</v>
      </c>
      <c r="C13" s="404"/>
      <c r="D13" s="405">
        <f t="shared" si="2"/>
        <v>0</v>
      </c>
      <c r="E13" s="406"/>
      <c r="F13" s="101" t="s">
        <v>46</v>
      </c>
      <c r="G13" s="94" t="str">
        <f t="shared" si="4"/>
        <v>AMM</v>
      </c>
      <c r="H13" s="77"/>
      <c r="I13" s="98"/>
      <c r="J13" s="77"/>
      <c r="K13" s="77"/>
      <c r="L13" s="77"/>
      <c r="M13" s="77"/>
      <c r="N13" s="81">
        <v>6</v>
      </c>
      <c r="O13" s="77" t="str">
        <f aca="true" t="shared" si="7" ref="O13:X13">O$3</f>
        <v>Einheit</v>
      </c>
      <c r="P13" s="77" t="str">
        <f t="shared" si="7"/>
        <v>Umr_Einheit</v>
      </c>
      <c r="Q13" s="77" t="str">
        <f t="shared" si="7"/>
        <v>Anbot frei Straße</v>
      </c>
      <c r="R13" s="77" t="str">
        <f t="shared" si="7"/>
        <v>Umr_Faktor</v>
      </c>
      <c r="S13" s="77" t="str">
        <f t="shared" si="7"/>
        <v>Preis frei Werk</v>
      </c>
      <c r="T13" s="77" t="str">
        <f t="shared" si="7"/>
        <v>Kosten frei Werk</v>
      </c>
      <c r="U13" s="77" t="str">
        <f t="shared" si="7"/>
        <v>Anbot frei Werk</v>
      </c>
      <c r="V13" s="77" t="str">
        <f t="shared" si="7"/>
        <v>Kosten frei Straße</v>
      </c>
      <c r="W13" s="77" t="str">
        <f t="shared" si="7"/>
        <v>Preis frei Straße</v>
      </c>
      <c r="X13" s="77" t="str">
        <f t="shared" si="7"/>
        <v>D</v>
      </c>
      <c r="Y13" s="77"/>
      <c r="Z13" s="77"/>
      <c r="AA13" s="77"/>
      <c r="AB13" s="77"/>
      <c r="AC13" s="195"/>
      <c r="AD13" s="347" t="s">
        <v>0</v>
      </c>
      <c r="AF13" s="97">
        <f>AM23</f>
        <v>1</v>
      </c>
      <c r="AG13" s="77"/>
      <c r="AH13" s="98">
        <f>IF(SUM($AH$39:$AI$39)=0,0,"á Euro")</f>
        <v>0</v>
      </c>
      <c r="AI13" s="287" t="str">
        <f>IF(AI11=0," ",AM24)</f>
        <v> </v>
      </c>
      <c r="AJ13" s="287" t="str">
        <f>IF(AJ11=0," ",AM26)</f>
        <v> </v>
      </c>
      <c r="AK13" s="366" t="s">
        <v>162</v>
      </c>
      <c r="AL13" s="269"/>
      <c r="AM13" s="435" t="s">
        <v>157</v>
      </c>
      <c r="AN13" s="435"/>
      <c r="AO13" s="359" t="str">
        <f>AP54</f>
        <v>-</v>
      </c>
      <c r="AP13" s="360" t="s">
        <v>143</v>
      </c>
    </row>
    <row r="14" spans="1:42" ht="15" customHeight="1">
      <c r="A14" s="92" t="str">
        <f>'DB Maßeinheiten'!A14</f>
        <v>RM_1,0</v>
      </c>
      <c r="B14" s="404">
        <f>IF($A14=$AG$39,$AH$39,IF(A14=$AG$42,$AH$42,IF(A14=$AG$43,$AH$43,0)))</f>
        <v>0</v>
      </c>
      <c r="C14" s="404"/>
      <c r="D14" s="405">
        <f>IF(A14=$AG$39,$AI$39,IF(A14=$AG$42,$AI$42,IF(A14=$AG$43,$AI$43,0)))</f>
        <v>0</v>
      </c>
      <c r="E14" s="406"/>
      <c r="F14" s="101" t="s">
        <v>46</v>
      </c>
      <c r="G14" s="94" t="str">
        <f t="shared" si="4"/>
        <v>RM_1,0</v>
      </c>
      <c r="H14" s="75"/>
      <c r="K14" s="77"/>
      <c r="L14" s="77"/>
      <c r="M14" s="77"/>
      <c r="N14" s="81"/>
      <c r="O14" s="77" t="str">
        <f>AP57</f>
        <v>FMM</v>
      </c>
      <c r="P14" s="77" t="str">
        <f>'DB Maßeinheiten'!A8</f>
        <v>FMM</v>
      </c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195"/>
      <c r="AD14" s="344"/>
      <c r="AF14" s="96"/>
      <c r="AG14" s="77"/>
      <c r="AH14" s="77"/>
      <c r="AI14" s="105"/>
      <c r="AJ14" s="105"/>
      <c r="AK14" s="283">
        <f>IF($AO$13=$AQ$43,0,"Baumart  "&amp;$AD$3)</f>
        <v>0</v>
      </c>
      <c r="AL14" s="77"/>
      <c r="AM14" s="77"/>
      <c r="AN14" s="77"/>
      <c r="AO14" s="77"/>
      <c r="AP14" s="273"/>
    </row>
    <row r="15" spans="1:42" ht="25.5" customHeight="1">
      <c r="A15" s="92" t="str">
        <f>'DB Maßeinheiten'!A15</f>
        <v>RM_0,35</v>
      </c>
      <c r="B15" s="404">
        <f>IF($A15=$AG$39,$AH$39,IF(A15=$AG$42,$AH$42,IF(A15=$AG$43,$AH$43,0)))</f>
        <v>0</v>
      </c>
      <c r="C15" s="404"/>
      <c r="D15" s="405">
        <f>IF(A15=$AG$39,$AI$39,IF(A15=$AG$42,$AI$42,IF(A15=$AG$43,$AI$43,0)))</f>
        <v>0</v>
      </c>
      <c r="E15" s="406"/>
      <c r="F15" s="101" t="s">
        <v>46</v>
      </c>
      <c r="G15" s="94" t="str">
        <f t="shared" si="4"/>
        <v>RM_0,35</v>
      </c>
      <c r="H15" s="75"/>
      <c r="K15" s="77"/>
      <c r="L15" s="77"/>
      <c r="M15" s="77"/>
      <c r="N15" s="81">
        <v>7</v>
      </c>
      <c r="O15" s="77" t="str">
        <f aca="true" t="shared" si="8" ref="O15:X17">O$3</f>
        <v>Einheit</v>
      </c>
      <c r="P15" s="77" t="str">
        <f t="shared" si="8"/>
        <v>Umr_Einheit</v>
      </c>
      <c r="Q15" s="77" t="str">
        <f t="shared" si="8"/>
        <v>Anbot frei Straße</v>
      </c>
      <c r="R15" s="77" t="str">
        <f t="shared" si="8"/>
        <v>Umr_Faktor</v>
      </c>
      <c r="S15" s="77" t="str">
        <f t="shared" si="8"/>
        <v>Preis frei Werk</v>
      </c>
      <c r="T15" s="77" t="str">
        <f t="shared" si="8"/>
        <v>Kosten frei Werk</v>
      </c>
      <c r="U15" s="77" t="str">
        <f t="shared" si="8"/>
        <v>Anbot frei Werk</v>
      </c>
      <c r="V15" s="77" t="str">
        <f t="shared" si="8"/>
        <v>Kosten frei Straße</v>
      </c>
      <c r="W15" s="77" t="str">
        <f t="shared" si="8"/>
        <v>Preis frei Straße</v>
      </c>
      <c r="X15" s="77" t="str">
        <f t="shared" si="8"/>
        <v>D</v>
      </c>
      <c r="Y15" s="77"/>
      <c r="Z15" s="77"/>
      <c r="AA15" s="77"/>
      <c r="AB15" s="77"/>
      <c r="AC15" s="195"/>
      <c r="AD15" s="347" t="s">
        <v>0</v>
      </c>
      <c r="AF15" s="97">
        <f>AN23</f>
        <v>1</v>
      </c>
      <c r="AG15" s="77"/>
      <c r="AH15" s="98">
        <f>IF(SUM($AH$39:$AI$39)=0,0,"á Euro")</f>
        <v>0</v>
      </c>
      <c r="AI15" s="287" t="str">
        <f>IF(AI11=0," ",AN24)</f>
        <v> </v>
      </c>
      <c r="AJ15" s="287" t="str">
        <f>IF(AJ11=0," ",AN26)</f>
        <v> </v>
      </c>
      <c r="AK15" s="271">
        <f>IF(AP54=AQ43,0,"Heizwert (kWh je FM) =")</f>
        <v>0</v>
      </c>
      <c r="AL15" s="108">
        <f>IF(AP54=AQ43,0,AL58/AL52)</f>
        <v>0</v>
      </c>
      <c r="AM15" s="184">
        <f>IF(AL15=0,0,"2. Preis = ")</f>
        <v>0</v>
      </c>
      <c r="AN15" s="361"/>
      <c r="AO15" s="189" t="s">
        <v>128</v>
      </c>
      <c r="AP15" s="274"/>
    </row>
    <row r="16" spans="1:42" ht="19.5" customHeight="1">
      <c r="A16" s="92" t="str">
        <f>'DB Maßeinheiten'!A16</f>
        <v>Srm_0,35</v>
      </c>
      <c r="B16" s="404">
        <f>IF($A16=$AG$39,$AH$39,IF(A16=$AG$42,$AH$42,IF(A16=$AG$43,$AH$43,0)))</f>
        <v>0</v>
      </c>
      <c r="C16" s="404"/>
      <c r="D16" s="405">
        <f>IF(A16=$AG$39,$AI$39,IF(A16=$AG$42,$AI$42,IF(A16=$AG$43,$AI$43,0)))</f>
        <v>0</v>
      </c>
      <c r="E16" s="406"/>
      <c r="F16" s="101" t="s">
        <v>46</v>
      </c>
      <c r="G16" s="94" t="str">
        <f t="shared" si="4"/>
        <v>Srm_0,35</v>
      </c>
      <c r="H16" s="75"/>
      <c r="K16" s="77"/>
      <c r="L16" s="77"/>
      <c r="M16" s="77"/>
      <c r="N16" s="81"/>
      <c r="O16" s="77" t="str">
        <f>AM61</f>
        <v>Einh. 2</v>
      </c>
      <c r="P16" s="77" t="str">
        <f>AM60</f>
        <v>FMM</v>
      </c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195"/>
      <c r="AD16" s="344"/>
      <c r="AF16" s="367" t="s">
        <v>152</v>
      </c>
      <c r="AG16" s="84"/>
      <c r="AH16" s="84"/>
      <c r="AI16" s="84"/>
      <c r="AJ16" s="84"/>
      <c r="AK16" s="271" t="str">
        <f>IF(AL16=0," ","das sind")</f>
        <v> </v>
      </c>
      <c r="AL16" s="190">
        <f>IF($AO$13=$AQ$43,0,IF($AM$60=$AJ$58,$AN$15*$AO$59*$AP$63,$AN$15*$AO$59*$AO$60))</f>
        <v>0</v>
      </c>
      <c r="AM16" s="191" t="str">
        <f>IF(AN15=0," ","je to FS od.")</f>
        <v> </v>
      </c>
      <c r="AN16" s="192">
        <f>IF(AP54=AQ43,0,IF(AN15=0,0,AL16/AO59/AL15*100))</f>
        <v>0</v>
      </c>
      <c r="AO16" s="191" t="str">
        <f>IF(AN15=0," ","ct je kWh")</f>
        <v> </v>
      </c>
      <c r="AP16" s="273"/>
    </row>
    <row r="17" spans="1:42" ht="22.5" customHeight="1" thickBot="1">
      <c r="A17" s="75"/>
      <c r="B17" s="75"/>
      <c r="C17" s="75"/>
      <c r="D17" s="75"/>
      <c r="E17" s="75"/>
      <c r="F17" s="75"/>
      <c r="G17" s="75"/>
      <c r="H17" s="75"/>
      <c r="K17" s="77"/>
      <c r="L17" s="77"/>
      <c r="M17" s="77"/>
      <c r="N17" s="81">
        <v>8</v>
      </c>
      <c r="O17" s="77" t="str">
        <f t="shared" si="8"/>
        <v>Einheit</v>
      </c>
      <c r="P17" s="77" t="str">
        <f t="shared" si="8"/>
        <v>Umr_Einheit</v>
      </c>
      <c r="Q17" s="77" t="str">
        <f t="shared" si="8"/>
        <v>Anbot frei Straße</v>
      </c>
      <c r="R17" s="77" t="str">
        <f t="shared" si="8"/>
        <v>Umr_Faktor</v>
      </c>
      <c r="S17" s="77" t="str">
        <f t="shared" si="8"/>
        <v>Preis frei Werk</v>
      </c>
      <c r="T17" s="77" t="str">
        <f t="shared" si="8"/>
        <v>Kosten frei Werk</v>
      </c>
      <c r="U17" s="77" t="str">
        <f t="shared" si="8"/>
        <v>Anbot frei Werk</v>
      </c>
      <c r="V17" s="77" t="str">
        <f t="shared" si="8"/>
        <v>Kosten frei Straße</v>
      </c>
      <c r="W17" s="77" t="str">
        <f t="shared" si="8"/>
        <v>Preis frei Straße</v>
      </c>
      <c r="X17" s="77" t="str">
        <f t="shared" si="8"/>
        <v>D</v>
      </c>
      <c r="Y17" s="77"/>
      <c r="Z17" s="77"/>
      <c r="AA17" s="77"/>
      <c r="AB17" s="77"/>
      <c r="AC17" s="195"/>
      <c r="AD17" s="344"/>
      <c r="AF17" s="215" t="s">
        <v>100</v>
      </c>
      <c r="AG17" s="216" t="s">
        <v>101</v>
      </c>
      <c r="AH17" s="77"/>
      <c r="AI17" s="77"/>
      <c r="AJ17" s="77"/>
      <c r="AK17" s="272">
        <f>IF($AO$13=$AQ$43,0,IF($AN$15=0,0,$AL$66&amp;"          mit w ="))</f>
        <v>0</v>
      </c>
      <c r="AL17" s="264">
        <f>IF(AP66=AQ43,0,IF(AK17=0,0,AP66))</f>
        <v>0</v>
      </c>
      <c r="AM17" s="265" t="str">
        <f>IF(AL17=0," ","%           =")</f>
        <v> </v>
      </c>
      <c r="AN17" s="266">
        <f>IF(AN15=0,0,IF(AK17=0,0,IF(AM61=B21,0,IF(AL17=0,0,IF(AL17=AQ43,0,$AN$15*$AL$69/$AL$58/AK90)))))</f>
        <v>0</v>
      </c>
      <c r="AO17" s="267" t="s">
        <v>128</v>
      </c>
      <c r="AP17" s="275"/>
    </row>
    <row r="18" spans="1:42" ht="19.5" customHeight="1" thickTop="1">
      <c r="A18" s="75"/>
      <c r="B18" s="75"/>
      <c r="C18" s="75"/>
      <c r="D18" s="75"/>
      <c r="E18" s="75"/>
      <c r="F18" s="75"/>
      <c r="G18" s="75"/>
      <c r="H18" s="75"/>
      <c r="K18" s="77"/>
      <c r="L18" s="77"/>
      <c r="M18" s="77"/>
      <c r="N18" s="77"/>
      <c r="O18" s="77" t="str">
        <f>AM61</f>
        <v>Einh. 2</v>
      </c>
      <c r="P18" s="77" t="s">
        <v>3</v>
      </c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195"/>
      <c r="AD18" s="344" t="str">
        <f>AG39</f>
        <v>Einh. 1</v>
      </c>
      <c r="AF18" s="186"/>
      <c r="AG18" s="185"/>
      <c r="AH18" s="413" t="s">
        <v>128</v>
      </c>
      <c r="AI18" s="414"/>
      <c r="AJ18" s="212"/>
      <c r="AK18" s="441" t="s">
        <v>164</v>
      </c>
      <c r="AL18" s="442"/>
      <c r="AM18" s="442"/>
      <c r="AN18" s="442"/>
      <c r="AO18" s="442"/>
      <c r="AP18" s="443"/>
    </row>
    <row r="19" spans="1:42" ht="6.75" customHeight="1">
      <c r="A19" s="75"/>
      <c r="B19" s="75"/>
      <c r="C19" s="75"/>
      <c r="D19" s="75"/>
      <c r="E19" s="75"/>
      <c r="F19" s="75"/>
      <c r="G19" s="75"/>
      <c r="H19" s="75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195"/>
      <c r="AD19" s="344"/>
      <c r="AF19" s="145"/>
      <c r="AG19" s="146"/>
      <c r="AH19" s="146"/>
      <c r="AI19" s="146"/>
      <c r="AJ19" s="147"/>
      <c r="AK19" s="444"/>
      <c r="AL19" s="445"/>
      <c r="AM19" s="445"/>
      <c r="AN19" s="445"/>
      <c r="AO19" s="444"/>
      <c r="AP19" s="446"/>
    </row>
    <row r="20" spans="1:45" ht="19.5" customHeight="1">
      <c r="A20" s="75"/>
      <c r="B20" s="75"/>
      <c r="C20" s="75"/>
      <c r="D20" s="75"/>
      <c r="E20" s="75"/>
      <c r="F20" s="75"/>
      <c r="G20" s="77"/>
      <c r="H20" s="77"/>
      <c r="I20" s="77"/>
      <c r="J20" s="77"/>
      <c r="K20" s="77"/>
      <c r="L20" s="77"/>
      <c r="M20" s="77"/>
      <c r="N20" s="77">
        <v>9</v>
      </c>
      <c r="O20" s="77" t="str">
        <f aca="true" t="shared" si="9" ref="O20:X20">O$3</f>
        <v>Einheit</v>
      </c>
      <c r="P20" s="77" t="str">
        <f t="shared" si="9"/>
        <v>Umr_Einheit</v>
      </c>
      <c r="Q20" s="77" t="str">
        <f t="shared" si="9"/>
        <v>Anbot frei Straße</v>
      </c>
      <c r="R20" s="77" t="str">
        <f t="shared" si="9"/>
        <v>Umr_Faktor</v>
      </c>
      <c r="S20" s="77" t="str">
        <f t="shared" si="9"/>
        <v>Preis frei Werk</v>
      </c>
      <c r="T20" s="77" t="str">
        <f t="shared" si="9"/>
        <v>Kosten frei Werk</v>
      </c>
      <c r="U20" s="77" t="str">
        <f t="shared" si="9"/>
        <v>Anbot frei Werk</v>
      </c>
      <c r="V20" s="77" t="str">
        <f t="shared" si="9"/>
        <v>Kosten frei Straße</v>
      </c>
      <c r="W20" s="77" t="str">
        <f t="shared" si="9"/>
        <v>Preis frei Straße</v>
      </c>
      <c r="X20" s="77" t="str">
        <f t="shared" si="9"/>
        <v>D</v>
      </c>
      <c r="Y20" s="77"/>
      <c r="Z20" s="77"/>
      <c r="AA20" s="77"/>
      <c r="AB20" s="77"/>
      <c r="AC20" s="195"/>
      <c r="AD20" s="344" t="str">
        <f>AG42</f>
        <v>Einh. 2</v>
      </c>
      <c r="AF20" s="186"/>
      <c r="AG20" s="185"/>
      <c r="AH20" s="217" t="s">
        <v>128</v>
      </c>
      <c r="AI20" s="415" t="s">
        <v>166</v>
      </c>
      <c r="AJ20" s="416"/>
      <c r="AK20" s="432" t="s">
        <v>210</v>
      </c>
      <c r="AL20" s="436" t="s">
        <v>148</v>
      </c>
      <c r="AM20" s="437"/>
      <c r="AN20" s="438"/>
      <c r="AO20" s="447" t="s">
        <v>149</v>
      </c>
      <c r="AP20" s="448"/>
      <c r="AS20" s="116"/>
    </row>
    <row r="21" spans="1:42" ht="19.5" customHeight="1">
      <c r="A21" s="380" t="s">
        <v>132</v>
      </c>
      <c r="B21" s="282" t="s">
        <v>133</v>
      </c>
      <c r="C21" s="282" t="s">
        <v>134</v>
      </c>
      <c r="D21" s="75"/>
      <c r="E21" s="75"/>
      <c r="F21" s="75"/>
      <c r="G21" s="77"/>
      <c r="H21" s="77"/>
      <c r="I21" s="77"/>
      <c r="J21" s="77"/>
      <c r="K21" s="77"/>
      <c r="L21" s="77"/>
      <c r="M21" s="77"/>
      <c r="N21" s="77"/>
      <c r="O21" s="77" t="str">
        <f>AM62</f>
        <v>Einh. 2</v>
      </c>
      <c r="P21" s="77" t="s">
        <v>3</v>
      </c>
      <c r="Q21" s="77"/>
      <c r="R21" s="77"/>
      <c r="S21" s="77"/>
      <c r="T21" s="77"/>
      <c r="U21" s="77"/>
      <c r="V21" s="77"/>
      <c r="W21" s="77"/>
      <c r="X21" s="77"/>
      <c r="Y21" s="77"/>
      <c r="Z21" s="77">
        <v>0</v>
      </c>
      <c r="AA21" s="77"/>
      <c r="AB21" s="77"/>
      <c r="AC21" s="195"/>
      <c r="AD21" s="345" t="str">
        <f>AG43</f>
        <v>Einh. 3</v>
      </c>
      <c r="AF21" s="187"/>
      <c r="AG21" s="111"/>
      <c r="AH21" s="218" t="s">
        <v>128</v>
      </c>
      <c r="AI21" s="417"/>
      <c r="AJ21" s="418"/>
      <c r="AK21" s="433"/>
      <c r="AL21" s="211" t="s">
        <v>52</v>
      </c>
      <c r="AM21" s="439" t="s">
        <v>51</v>
      </c>
      <c r="AN21" s="440"/>
      <c r="AO21" s="449"/>
      <c r="AP21" s="450"/>
    </row>
    <row r="22" spans="1:42" ht="21.75" customHeight="1">
      <c r="A22" s="92" t="str">
        <f>A7</f>
        <v>FMO</v>
      </c>
      <c r="B22" s="92" t="str">
        <f>A7</f>
        <v>FMO</v>
      </c>
      <c r="C22" s="92" t="str">
        <f>A7</f>
        <v>FMO</v>
      </c>
      <c r="D22" s="75"/>
      <c r="E22" s="75"/>
      <c r="F22" s="75"/>
      <c r="G22" s="77"/>
      <c r="H22" s="77"/>
      <c r="I22" s="77"/>
      <c r="J22" s="77"/>
      <c r="K22" s="77"/>
      <c r="L22" s="77"/>
      <c r="M22" s="77"/>
      <c r="N22" s="67" t="s">
        <v>107</v>
      </c>
      <c r="O22" s="12"/>
      <c r="P22" s="12"/>
      <c r="Q22" s="12"/>
      <c r="R22" s="12"/>
      <c r="S22" s="12"/>
      <c r="T22" s="12"/>
      <c r="U22" s="12"/>
      <c r="V22" s="12"/>
      <c r="W22" s="13"/>
      <c r="X22" s="77"/>
      <c r="Y22" s="77"/>
      <c r="Z22" s="75">
        <v>10</v>
      </c>
      <c r="AA22" s="77"/>
      <c r="AB22" s="77"/>
      <c r="AC22" s="104"/>
      <c r="AF22" s="368" t="s">
        <v>153</v>
      </c>
      <c r="AG22" s="77"/>
      <c r="AH22" s="77"/>
      <c r="AI22" s="77"/>
      <c r="AJ22" s="85"/>
      <c r="AK22" s="434"/>
      <c r="AL22" s="119" t="str">
        <f>AD11</f>
        <v>FMO</v>
      </c>
      <c r="AM22" s="119" t="str">
        <f>AD13</f>
        <v>FMO</v>
      </c>
      <c r="AN22" s="120" t="str">
        <f>AD15</f>
        <v>FMO</v>
      </c>
      <c r="AO22" s="426" t="str">
        <f>AM22</f>
        <v>FMO</v>
      </c>
      <c r="AP22" s="428" t="str">
        <f>AN22</f>
        <v>FMO</v>
      </c>
    </row>
    <row r="23" spans="1:43" ht="18.75" customHeight="1">
      <c r="A23" s="92" t="str">
        <f aca="true" t="shared" si="10" ref="A23:A31">A8</f>
        <v>FMM</v>
      </c>
      <c r="B23" s="92" t="str">
        <f aca="true" t="shared" si="11" ref="B23:B31">A8</f>
        <v>FMM</v>
      </c>
      <c r="C23" s="92" t="str">
        <f aca="true" t="shared" si="12" ref="C23:C31">A8</f>
        <v>FMM</v>
      </c>
      <c r="D23" s="75"/>
      <c r="E23" s="75"/>
      <c r="F23" s="75"/>
      <c r="G23" s="77"/>
      <c r="H23" s="77"/>
      <c r="I23" s="77"/>
      <c r="J23" s="77"/>
      <c r="K23" s="77"/>
      <c r="L23" s="77"/>
      <c r="M23" s="77"/>
      <c r="N23" s="25" t="s">
        <v>108</v>
      </c>
      <c r="P23" s="18"/>
      <c r="Q23" s="18" t="s">
        <v>109</v>
      </c>
      <c r="R23" s="18"/>
      <c r="S23" s="18"/>
      <c r="T23" s="18"/>
      <c r="U23" s="18"/>
      <c r="V23" s="18"/>
      <c r="W23" s="36"/>
      <c r="X23" s="77"/>
      <c r="Y23" s="77"/>
      <c r="Z23" s="75">
        <v>20</v>
      </c>
      <c r="AA23" s="77"/>
      <c r="AB23" s="77"/>
      <c r="AC23" s="104"/>
      <c r="AF23" s="96"/>
      <c r="AG23" s="42"/>
      <c r="AH23" s="121"/>
      <c r="AI23" s="121"/>
      <c r="AJ23" s="121"/>
      <c r="AK23" s="365" t="s">
        <v>62</v>
      </c>
      <c r="AL23" s="205">
        <v>1</v>
      </c>
      <c r="AM23" s="206">
        <f>DGET('DB Maßeinheiten'!$S$6:$AB$500,'DB Maßeinheiten'!$V$6,$O$3:$V$4)</f>
        <v>1</v>
      </c>
      <c r="AN23" s="207">
        <f>DGET('DB Maßeinheiten'!$S$6:$AB$500,'DB Maßeinheiten'!$V$6,$O$7:$V$8)</f>
        <v>1</v>
      </c>
      <c r="AO23" s="427"/>
      <c r="AP23" s="429"/>
      <c r="AQ23" s="188"/>
    </row>
    <row r="24" spans="1:42" ht="16.5" customHeight="1">
      <c r="A24" s="92" t="str">
        <f t="shared" si="10"/>
        <v>RMO</v>
      </c>
      <c r="B24" s="92" t="str">
        <f t="shared" si="11"/>
        <v>RMO</v>
      </c>
      <c r="C24" s="92" t="str">
        <f t="shared" si="12"/>
        <v>RMO</v>
      </c>
      <c r="D24" s="75"/>
      <c r="E24" s="75"/>
      <c r="F24" s="75"/>
      <c r="G24" s="77"/>
      <c r="H24" s="77"/>
      <c r="I24" s="77"/>
      <c r="J24" s="77"/>
      <c r="K24" s="77"/>
      <c r="L24" s="77"/>
      <c r="M24" s="77"/>
      <c r="O24" s="18"/>
      <c r="P24" s="18"/>
      <c r="Q24" s="18"/>
      <c r="R24" s="18"/>
      <c r="S24" s="75" t="s">
        <v>127</v>
      </c>
      <c r="T24" s="18"/>
      <c r="U24" s="18"/>
      <c r="V24" s="18"/>
      <c r="W24" s="36"/>
      <c r="X24" s="77"/>
      <c r="Y24" s="77"/>
      <c r="Z24" s="75">
        <v>30</v>
      </c>
      <c r="AA24" s="77"/>
      <c r="AB24" s="77"/>
      <c r="AC24" s="104"/>
      <c r="AE24" s="77"/>
      <c r="AF24" s="362" t="s">
        <v>209</v>
      </c>
      <c r="AG24" s="112"/>
      <c r="AH24" s="115"/>
      <c r="AI24" s="115"/>
      <c r="AJ24" s="115"/>
      <c r="AK24" s="123" t="s">
        <v>57</v>
      </c>
      <c r="AL24" s="219">
        <f>DGET('DB Maßeinheiten'!$S$6:$AB$500,'DB Maßeinheiten'!U6,$O$5:$V$6)</f>
        <v>0</v>
      </c>
      <c r="AM24" s="219">
        <f>DGET('DB Maßeinheiten'!$S$6:$AB$500,'DB Maßeinheiten'!$U$6,$O$3:$V$4)</f>
        <v>0</v>
      </c>
      <c r="AN24" s="387">
        <f>DGET('DB Maßeinheiten'!$S$6:$AB$500,'DB Maßeinheiten'!U6,$O$7:$V$8)</f>
        <v>0</v>
      </c>
      <c r="AO24" s="224">
        <f>DGET('DB Maßeinheiten'!$S$6:$AB$500,'DB Maßeinheiten'!U6,$O$9:$V$10)</f>
        <v>0</v>
      </c>
      <c r="AP24" s="225">
        <f>DGET('DB Maßeinheiten'!$S$6:$AB$500,'DB Maßeinheiten'!U6,$O$11:$V$12)</f>
        <v>0</v>
      </c>
    </row>
    <row r="25" spans="1:42" ht="16.5" customHeight="1">
      <c r="A25" s="92" t="str">
        <f t="shared" si="10"/>
        <v>RMM</v>
      </c>
      <c r="B25" s="92" t="str">
        <f t="shared" si="11"/>
        <v>RMM</v>
      </c>
      <c r="C25" s="92" t="str">
        <f t="shared" si="12"/>
        <v>RMM</v>
      </c>
      <c r="D25" s="75"/>
      <c r="E25" s="75"/>
      <c r="F25" s="75"/>
      <c r="G25" s="77"/>
      <c r="H25" s="77"/>
      <c r="I25" s="77"/>
      <c r="J25" s="77"/>
      <c r="K25" s="77"/>
      <c r="L25" s="77"/>
      <c r="M25" s="77"/>
      <c r="N25" s="60" t="s">
        <v>110</v>
      </c>
      <c r="O25" s="293" t="s">
        <v>141</v>
      </c>
      <c r="P25" s="18" t="s">
        <v>121</v>
      </c>
      <c r="Q25" s="124" t="s">
        <v>124</v>
      </c>
      <c r="S25" s="11" t="s">
        <v>111</v>
      </c>
      <c r="T25" s="12"/>
      <c r="U25" s="12"/>
      <c r="V25" s="12"/>
      <c r="W25" s="13"/>
      <c r="X25" s="77"/>
      <c r="Y25" s="77"/>
      <c r="Z25" s="75">
        <v>40</v>
      </c>
      <c r="AA25" s="77"/>
      <c r="AB25" s="77"/>
      <c r="AC25" s="195"/>
      <c r="AF25" s="363" t="s">
        <v>165</v>
      </c>
      <c r="AG25" s="112"/>
      <c r="AH25" s="115"/>
      <c r="AI25" s="115"/>
      <c r="AJ25" s="115"/>
      <c r="AK25" s="204" t="s">
        <v>56</v>
      </c>
      <c r="AL25" s="220">
        <f>DGET('DB Maßeinheiten'!$S$6:$AB$500,'DB Maßeinheiten'!Z6,$O$5:$V$6)</f>
        <v>0</v>
      </c>
      <c r="AM25" s="221">
        <f>DGET('DB Maßeinheiten'!$S$6:$AB$500,'DB Maßeinheiten'!Z6,$O$3:$V$4)</f>
        <v>0</v>
      </c>
      <c r="AN25" s="388">
        <f>DGET('DB Maßeinheiten'!$S$6:$AB$500,'DB Maßeinheiten'!Z6,$O$7:$W$8)</f>
        <v>0</v>
      </c>
      <c r="AO25" s="224">
        <f>IF(AO24=0,0,DGET('DB Maßeinheiten'!$S$6:$AB$500,'DB Maßeinheiten'!Z6,$O$9:$V$10))</f>
        <v>0</v>
      </c>
      <c r="AP25" s="226">
        <f>IF(AP24=0,0,DGET('DB Maßeinheiten'!$S$6:$AB$500,'DB Maßeinheiten'!Z6,$O$11:$V$12))</f>
        <v>0</v>
      </c>
    </row>
    <row r="26" spans="1:42" ht="16.5" customHeight="1">
      <c r="A26" s="92" t="str">
        <f t="shared" si="10"/>
        <v>Srm O</v>
      </c>
      <c r="B26" s="92" t="str">
        <f t="shared" si="11"/>
        <v>Srm O</v>
      </c>
      <c r="C26" s="92" t="str">
        <f t="shared" si="12"/>
        <v>Srm O</v>
      </c>
      <c r="D26" s="75"/>
      <c r="E26" s="75"/>
      <c r="F26" s="75"/>
      <c r="G26" s="77"/>
      <c r="H26" s="77"/>
      <c r="I26" s="77"/>
      <c r="J26" s="77"/>
      <c r="K26" s="77"/>
      <c r="L26" s="77"/>
      <c r="M26" s="77"/>
      <c r="N26" s="60" t="s">
        <v>123</v>
      </c>
      <c r="O26" s="68">
        <f>U33</f>
        <v>4</v>
      </c>
      <c r="P26" s="18" t="s">
        <v>112</v>
      </c>
      <c r="Q26" s="124" t="s">
        <v>125</v>
      </c>
      <c r="R26" s="126">
        <v>0</v>
      </c>
      <c r="S26" s="69" t="s">
        <v>112</v>
      </c>
      <c r="T26" s="69" t="s">
        <v>113</v>
      </c>
      <c r="U26" s="70" t="s">
        <v>114</v>
      </c>
      <c r="V26" s="35" t="s">
        <v>115</v>
      </c>
      <c r="W26" s="13"/>
      <c r="X26" s="77"/>
      <c r="Y26" s="77"/>
      <c r="Z26" s="75">
        <v>50</v>
      </c>
      <c r="AA26" s="77"/>
      <c r="AB26" s="77"/>
      <c r="AC26" s="104"/>
      <c r="AF26" s="363" t="s">
        <v>54</v>
      </c>
      <c r="AG26" s="112"/>
      <c r="AH26" s="115"/>
      <c r="AI26" s="115"/>
      <c r="AJ26" s="115"/>
      <c r="AK26" s="127" t="s">
        <v>44</v>
      </c>
      <c r="AL26" s="222">
        <f>DGET('DB Maßeinheiten'!$S$6:$AB$500,'DB Maßeinheiten'!Y6,$O$5:$V$6)</f>
        <v>0</v>
      </c>
      <c r="AM26" s="222">
        <f>DGET('DB Maßeinheiten'!$S$6:$AB$500,'DB Maßeinheiten'!Y6,$O$3:$V$4)</f>
        <v>0</v>
      </c>
      <c r="AN26" s="389">
        <f>DGET('DB Maßeinheiten'!$S$6:$AB$500,'DB Maßeinheiten'!Y6,$O$7:$V$8)</f>
        <v>0</v>
      </c>
      <c r="AO26" s="227">
        <f>DGET('DB Maßeinheiten'!$S$6:$AB$500,'DB Maßeinheiten'!Y6,$O$9:$V$10)</f>
        <v>0</v>
      </c>
      <c r="AP26" s="228">
        <f>DGET('DB Maßeinheiten'!$S$6:$AB$500,'DB Maßeinheiten'!Y6,$O$11:$V$12)</f>
        <v>0</v>
      </c>
    </row>
    <row r="27" spans="1:42" ht="16.5" customHeight="1" thickBot="1">
      <c r="A27" s="92" t="str">
        <f t="shared" si="10"/>
        <v>Srm M</v>
      </c>
      <c r="B27" s="92" t="str">
        <f t="shared" si="11"/>
        <v>Srm M</v>
      </c>
      <c r="C27" s="92" t="str">
        <f t="shared" si="12"/>
        <v>Srm M</v>
      </c>
      <c r="D27" s="75"/>
      <c r="E27" s="75"/>
      <c r="F27" s="75"/>
      <c r="G27" s="77"/>
      <c r="H27" s="77"/>
      <c r="I27" s="77"/>
      <c r="J27" s="77"/>
      <c r="K27" s="77"/>
      <c r="L27" s="77"/>
      <c r="M27" s="77"/>
      <c r="N27" s="60" t="s">
        <v>116</v>
      </c>
      <c r="O27" s="18">
        <f>IF(P27=Q27,-1,IF(P27=Q25,1,0))</f>
        <v>0</v>
      </c>
      <c r="P27" s="82" t="s">
        <v>125</v>
      </c>
      <c r="Q27" s="124" t="s">
        <v>126</v>
      </c>
      <c r="R27" s="71">
        <v>2</v>
      </c>
      <c r="S27" s="128" t="s">
        <v>127</v>
      </c>
      <c r="T27" s="129" t="s">
        <v>181</v>
      </c>
      <c r="U27" s="26">
        <f>S27*T27</f>
        <v>0</v>
      </c>
      <c r="V27" s="25">
        <f>S27*U27</f>
        <v>0</v>
      </c>
      <c r="W27" s="36"/>
      <c r="X27" s="77"/>
      <c r="Y27" s="77"/>
      <c r="Z27" s="75">
        <v>60</v>
      </c>
      <c r="AA27" s="77"/>
      <c r="AB27" s="77"/>
      <c r="AC27" s="104"/>
      <c r="AF27" s="96"/>
      <c r="AG27" s="77"/>
      <c r="AH27" s="77"/>
      <c r="AI27" s="77"/>
      <c r="AJ27" s="85"/>
      <c r="AK27" s="130" t="s">
        <v>47</v>
      </c>
      <c r="AL27" s="223">
        <f>DGET('DB Maßeinheiten'!$S$6:$AB$500,'DB Maßeinheiten'!X6,$O$5:$V$6)</f>
        <v>0</v>
      </c>
      <c r="AM27" s="223">
        <f>DGET('DB Maßeinheiten'!$S$6:$AB$500,'DB Maßeinheiten'!X6,$O$3:$V$4)</f>
        <v>0</v>
      </c>
      <c r="AN27" s="390">
        <f>DGET('DB Maßeinheiten'!$S$6:$AB$500,'DB Maßeinheiten'!X6,$O$7:$V$8)</f>
        <v>0</v>
      </c>
      <c r="AO27" s="229">
        <f>IF(AO26=0,0,DGET('DB Maßeinheiten'!$S$6:$AB$500,'DB Maßeinheiten'!X6,$O$9:$V$10))</f>
        <v>0</v>
      </c>
      <c r="AP27" s="230">
        <f>IF(AP26=0,0,DGET('DB Maßeinheiten'!$S$6:$AB$500,'DB Maßeinheiten'!X6,$O$11:$V$12))</f>
        <v>0</v>
      </c>
    </row>
    <row r="28" spans="1:42" ht="18.75" customHeight="1" hidden="1" thickBot="1" thickTop="1">
      <c r="A28" s="92" t="str">
        <f t="shared" si="10"/>
        <v>AMM</v>
      </c>
      <c r="B28" s="92" t="str">
        <f t="shared" si="11"/>
        <v>AMM</v>
      </c>
      <c r="C28" s="92" t="str">
        <f t="shared" si="12"/>
        <v>AMM</v>
      </c>
      <c r="D28" s="75"/>
      <c r="E28" s="75"/>
      <c r="F28" s="75"/>
      <c r="G28" s="77"/>
      <c r="H28" s="77"/>
      <c r="I28" s="77"/>
      <c r="J28" s="77"/>
      <c r="K28" s="77"/>
      <c r="L28" s="77"/>
      <c r="M28" s="77"/>
      <c r="N28" s="60" t="s">
        <v>111</v>
      </c>
      <c r="P28" s="72">
        <f>(V32-(U33^2)*100)^0.5</f>
        <v>0</v>
      </c>
      <c r="R28" s="71">
        <v>3</v>
      </c>
      <c r="S28" s="128" t="s">
        <v>173</v>
      </c>
      <c r="T28" s="129" t="s">
        <v>184</v>
      </c>
      <c r="U28" s="26">
        <f>S28*T28</f>
        <v>400</v>
      </c>
      <c r="V28" s="25">
        <f>S28*U28</f>
        <v>1600</v>
      </c>
      <c r="W28" s="36"/>
      <c r="X28" s="77"/>
      <c r="Y28" s="77"/>
      <c r="Z28" s="75">
        <v>70</v>
      </c>
      <c r="AA28" s="77"/>
      <c r="AB28" s="77"/>
      <c r="AC28" s="104"/>
      <c r="AF28" s="96" t="s">
        <v>37</v>
      </c>
      <c r="AG28" s="77"/>
      <c r="AH28" s="77"/>
      <c r="AI28" s="77"/>
      <c r="AJ28" s="85"/>
      <c r="AK28" s="131" t="s">
        <v>49</v>
      </c>
      <c r="AL28" s="132">
        <f>AL26-AL27</f>
        <v>0</v>
      </c>
      <c r="AM28" s="133">
        <f>AM26-AM27</f>
        <v>0</v>
      </c>
      <c r="AN28" s="133">
        <f>AN26-AN27</f>
        <v>0</v>
      </c>
      <c r="AO28" s="134"/>
      <c r="AP28" s="208"/>
    </row>
    <row r="29" spans="1:42" ht="18.75" customHeight="1" hidden="1" thickBot="1">
      <c r="A29" s="92" t="str">
        <f t="shared" si="10"/>
        <v>RM_1,0</v>
      </c>
      <c r="B29" s="92" t="str">
        <f t="shared" si="11"/>
        <v>RM_1,0</v>
      </c>
      <c r="C29" s="92" t="str">
        <f t="shared" si="12"/>
        <v>RM_1,0</v>
      </c>
      <c r="D29" s="75"/>
      <c r="E29" s="75"/>
      <c r="F29" s="75"/>
      <c r="G29" s="77"/>
      <c r="H29" s="77"/>
      <c r="I29" s="77"/>
      <c r="J29" s="77"/>
      <c r="K29" s="77"/>
      <c r="L29" s="77"/>
      <c r="M29" s="77"/>
      <c r="N29" s="25"/>
      <c r="O29" s="18"/>
      <c r="P29" s="18"/>
      <c r="Q29" s="18"/>
      <c r="R29" s="71">
        <v>4</v>
      </c>
      <c r="S29" s="128" t="s">
        <v>185</v>
      </c>
      <c r="T29" s="129" t="s">
        <v>181</v>
      </c>
      <c r="U29" s="26">
        <f>S29*T29</f>
        <v>0</v>
      </c>
      <c r="V29" s="25">
        <f>S29*U29</f>
        <v>0</v>
      </c>
      <c r="W29" s="36"/>
      <c r="X29" s="77"/>
      <c r="Y29" s="77"/>
      <c r="Z29" s="75">
        <v>80</v>
      </c>
      <c r="AA29" s="77"/>
      <c r="AB29" s="77"/>
      <c r="AC29" s="104"/>
      <c r="AF29" s="96" t="s">
        <v>54</v>
      </c>
      <c r="AG29" s="77"/>
      <c r="AH29" s="77"/>
      <c r="AI29" s="77"/>
      <c r="AJ29" s="85"/>
      <c r="AK29" s="135" t="s">
        <v>50</v>
      </c>
      <c r="AL29" s="214">
        <f>DGET('DB Maßeinheiten'!$S$6:$AB$500,'DB Maßeinheiten'!W6,$O$5:$V$6)</f>
        <v>0</v>
      </c>
      <c r="AM29" s="213">
        <f>DGET('DB Maßeinheiten'!$S$6:$AB$500,'DB Maßeinheiten'!W6,$O$3:$V$4)</f>
        <v>0</v>
      </c>
      <c r="AN29" s="136">
        <f>DGET('DB Maßeinheiten'!$S$6:$AB$500,'DB Maßeinheiten'!W6,$O$7:$V$8)</f>
        <v>0</v>
      </c>
      <c r="AO29" s="134"/>
      <c r="AP29" s="208"/>
    </row>
    <row r="30" spans="1:43" ht="31.5" customHeight="1" thickBot="1" thickTop="1">
      <c r="A30" s="92" t="str">
        <f t="shared" si="10"/>
        <v>RM_0,35</v>
      </c>
      <c r="B30" s="92" t="str">
        <f t="shared" si="11"/>
        <v>RM_0,35</v>
      </c>
      <c r="C30" s="92" t="str">
        <f t="shared" si="12"/>
        <v>RM_0,35</v>
      </c>
      <c r="D30" s="75"/>
      <c r="E30" s="75"/>
      <c r="F30" s="77"/>
      <c r="G30" s="77"/>
      <c r="H30" s="18"/>
      <c r="I30" s="77"/>
      <c r="J30" s="77"/>
      <c r="K30" s="77"/>
      <c r="L30" s="77"/>
      <c r="M30" s="77"/>
      <c r="N30" s="25"/>
      <c r="O30" s="18"/>
      <c r="P30" s="42"/>
      <c r="Q30" s="18"/>
      <c r="R30" s="71">
        <v>5</v>
      </c>
      <c r="S30" s="128"/>
      <c r="T30" s="128"/>
      <c r="U30" s="26">
        <f>S30*T30</f>
        <v>0</v>
      </c>
      <c r="V30" s="25">
        <f>S30*U30</f>
        <v>0</v>
      </c>
      <c r="W30" s="36"/>
      <c r="X30" s="77"/>
      <c r="Y30" s="77"/>
      <c r="Z30" s="75">
        <v>90</v>
      </c>
      <c r="AA30" s="77"/>
      <c r="AB30" s="77"/>
      <c r="AC30" s="195"/>
      <c r="AF30" s="407" t="s">
        <v>163</v>
      </c>
      <c r="AG30" s="408"/>
      <c r="AH30" s="408"/>
      <c r="AI30" s="408"/>
      <c r="AJ30" s="409"/>
      <c r="AK30" s="137" t="s">
        <v>182</v>
      </c>
      <c r="AL30" s="231">
        <f>IF(AL24=0,0,AL24-AL25)</f>
        <v>0</v>
      </c>
      <c r="AM30" s="237">
        <f>IF(AM24=0,0,AM24-AM25)</f>
        <v>0</v>
      </c>
      <c r="AN30" s="238">
        <f>IF(AN24=0,0,AN24-AN25)</f>
        <v>0</v>
      </c>
      <c r="AO30" s="233">
        <f>IF(AO24=0,0,AO24-AO25)</f>
        <v>0</v>
      </c>
      <c r="AP30" s="234">
        <f>IF(AP24=0,0,AP24-AP25)</f>
        <v>0</v>
      </c>
      <c r="AQ30" s="77"/>
    </row>
    <row r="31" spans="1:43" ht="31.5" customHeight="1" thickBot="1" thickTop="1">
      <c r="A31" s="92" t="str">
        <f t="shared" si="10"/>
        <v>Srm_0,35</v>
      </c>
      <c r="B31" s="92" t="str">
        <f t="shared" si="11"/>
        <v>Srm_0,35</v>
      </c>
      <c r="C31" s="92" t="str">
        <f t="shared" si="12"/>
        <v>Srm_0,35</v>
      </c>
      <c r="D31" s="75"/>
      <c r="E31" s="75"/>
      <c r="F31" s="77"/>
      <c r="G31" s="77"/>
      <c r="H31" s="77"/>
      <c r="I31" s="77"/>
      <c r="J31" s="77"/>
      <c r="K31" s="77"/>
      <c r="L31" s="77"/>
      <c r="M31" s="77"/>
      <c r="N31" s="60" t="s">
        <v>117</v>
      </c>
      <c r="O31" s="61" t="e">
        <f>IF(AM7=I38,1,0.56301+0.00779*O25+0.00123*O25*O27-0.00066*O26*P28)</f>
        <v>#VALUE!</v>
      </c>
      <c r="P31" s="42"/>
      <c r="Q31" s="18"/>
      <c r="R31" s="73">
        <v>6</v>
      </c>
      <c r="S31" s="138"/>
      <c r="T31" s="138"/>
      <c r="U31" s="28">
        <f>S31*T31</f>
        <v>0</v>
      </c>
      <c r="V31" s="32">
        <f>S31*U31</f>
        <v>0</v>
      </c>
      <c r="W31" s="66"/>
      <c r="X31" s="77"/>
      <c r="Y31" s="77"/>
      <c r="Z31" s="75">
        <v>100</v>
      </c>
      <c r="AA31" s="77"/>
      <c r="AB31" s="77"/>
      <c r="AC31" s="195"/>
      <c r="AF31" s="410"/>
      <c r="AG31" s="411"/>
      <c r="AH31" s="411"/>
      <c r="AI31" s="411"/>
      <c r="AJ31" s="412"/>
      <c r="AK31" s="139" t="s">
        <v>183</v>
      </c>
      <c r="AL31" s="232">
        <f>IF(AL26=0,0,AL26-AL27)</f>
        <v>0</v>
      </c>
      <c r="AM31" s="239">
        <f>IF(AM26=0,0,AM26-AM27)</f>
        <v>0</v>
      </c>
      <c r="AN31" s="239">
        <f>IF(AN26=0,0,AN26-AN27)</f>
        <v>0</v>
      </c>
      <c r="AO31" s="235">
        <f>IF(AO26=0,0,AO26-AO27)</f>
        <v>0</v>
      </c>
      <c r="AP31" s="236">
        <f>IF(AP26=0,0,AP26-AP27)</f>
        <v>0</v>
      </c>
      <c r="AQ31" s="77"/>
    </row>
    <row r="32" spans="1:32" ht="20.25" customHeight="1" thickTop="1">
      <c r="A32" s="75"/>
      <c r="B32" s="140"/>
      <c r="C32" s="75"/>
      <c r="D32" s="75"/>
      <c r="E32" s="75"/>
      <c r="F32" s="75"/>
      <c r="G32" s="77"/>
      <c r="H32" s="77"/>
      <c r="I32" s="77"/>
      <c r="N32" s="25"/>
      <c r="O32" s="18"/>
      <c r="P32" s="18"/>
      <c r="Q32" s="18"/>
      <c r="R32" s="18"/>
      <c r="S32" s="25" t="s">
        <v>120</v>
      </c>
      <c r="T32" s="69">
        <f>SUM(T27:T31)</f>
        <v>0</v>
      </c>
      <c r="U32" s="70">
        <f>SUM(U27:U31)</f>
        <v>400</v>
      </c>
      <c r="V32" s="35">
        <f>SUM(V27:V31)</f>
        <v>1600</v>
      </c>
      <c r="W32" s="13"/>
      <c r="AC32" s="195"/>
      <c r="AF32" s="282" t="s">
        <v>167</v>
      </c>
    </row>
    <row r="33" spans="1:43" ht="0.75" customHeight="1" hidden="1">
      <c r="A33" s="75"/>
      <c r="B33" s="75"/>
      <c r="C33" s="75"/>
      <c r="D33" s="75"/>
      <c r="E33" s="75"/>
      <c r="F33" s="75"/>
      <c r="G33" s="75"/>
      <c r="H33" s="75"/>
      <c r="N33" s="25"/>
      <c r="O33" s="18"/>
      <c r="P33" s="18"/>
      <c r="Q33" s="18"/>
      <c r="R33" s="18"/>
      <c r="S33" s="23" t="s">
        <v>122</v>
      </c>
      <c r="T33" s="14"/>
      <c r="U33" s="74">
        <f>U32/100</f>
        <v>4</v>
      </c>
      <c r="V33" s="14" t="s">
        <v>112</v>
      </c>
      <c r="W33" s="24"/>
      <c r="AC33" s="195"/>
      <c r="AK33" s="99"/>
      <c r="AL33" s="77"/>
      <c r="AM33" s="77"/>
      <c r="AN33" s="77"/>
      <c r="AO33" s="77"/>
      <c r="AQ33" s="77"/>
    </row>
    <row r="34" spans="1:43" ht="1.5" customHeight="1" hidden="1">
      <c r="A34" s="75"/>
      <c r="B34" s="75"/>
      <c r="C34" s="75"/>
      <c r="D34" s="75"/>
      <c r="E34" s="75"/>
      <c r="F34" s="75"/>
      <c r="G34" s="75"/>
      <c r="H34" s="75"/>
      <c r="N34" s="25"/>
      <c r="O34" s="18"/>
      <c r="P34" s="18"/>
      <c r="Q34" s="18"/>
      <c r="R34" s="18"/>
      <c r="S34" s="18"/>
      <c r="T34" s="18"/>
      <c r="U34" s="18"/>
      <c r="V34" s="18"/>
      <c r="W34" s="36"/>
      <c r="AC34" s="195"/>
      <c r="AK34" s="77"/>
      <c r="AL34" s="77"/>
      <c r="AM34" s="77"/>
      <c r="AN34" s="77"/>
      <c r="AO34" s="77"/>
      <c r="AQ34" s="77"/>
    </row>
    <row r="35" spans="1:43" ht="8.25" customHeight="1" hidden="1">
      <c r="A35" s="75"/>
      <c r="B35" s="75"/>
      <c r="C35" s="75"/>
      <c r="D35" s="75"/>
      <c r="E35" s="75"/>
      <c r="F35" s="75"/>
      <c r="G35" s="75"/>
      <c r="H35" s="75"/>
      <c r="N35" s="25" t="s">
        <v>118</v>
      </c>
      <c r="O35" s="18"/>
      <c r="P35" s="18"/>
      <c r="Q35" s="18"/>
      <c r="R35" s="18"/>
      <c r="S35" s="18"/>
      <c r="T35" s="18"/>
      <c r="U35" s="18"/>
      <c r="V35" s="18"/>
      <c r="W35" s="36"/>
      <c r="AC35" s="195"/>
      <c r="AK35" s="77"/>
      <c r="AL35" s="77"/>
      <c r="AM35" s="77"/>
      <c r="AN35" s="77"/>
      <c r="AO35" s="77"/>
      <c r="AQ35" s="77"/>
    </row>
    <row r="36" spans="1:43" ht="10.5" customHeight="1" hidden="1">
      <c r="A36" s="75"/>
      <c r="B36" s="75"/>
      <c r="C36" s="75"/>
      <c r="D36" s="75"/>
      <c r="E36" s="75"/>
      <c r="F36" s="75"/>
      <c r="G36" s="75"/>
      <c r="H36" s="75"/>
      <c r="N36" s="32" t="s">
        <v>119</v>
      </c>
      <c r="O36" s="20"/>
      <c r="P36" s="20"/>
      <c r="Q36" s="20"/>
      <c r="R36" s="20"/>
      <c r="S36" s="20"/>
      <c r="T36" s="20"/>
      <c r="U36" s="20"/>
      <c r="V36" s="20"/>
      <c r="W36" s="66"/>
      <c r="AC36" s="195"/>
      <c r="AK36" s="77"/>
      <c r="AL36" s="77"/>
      <c r="AM36" s="77"/>
      <c r="AN36" s="77"/>
      <c r="AO36" s="77"/>
      <c r="AQ36" s="77"/>
    </row>
    <row r="37" spans="1:43" ht="15" customHeight="1" hidden="1">
      <c r="A37" s="75"/>
      <c r="B37" s="1" t="s">
        <v>141</v>
      </c>
      <c r="C37" s="282" t="s">
        <v>72</v>
      </c>
      <c r="D37" s="75"/>
      <c r="K37" s="4" t="s">
        <v>1</v>
      </c>
      <c r="AC37" s="195"/>
      <c r="AF37" s="118" t="s">
        <v>105</v>
      </c>
      <c r="AG37" s="84"/>
      <c r="AH37" s="84"/>
      <c r="AI37" s="84"/>
      <c r="AJ37" s="141"/>
      <c r="AK37" s="142" t="s">
        <v>129</v>
      </c>
      <c r="AL37" s="143"/>
      <c r="AM37" s="144"/>
      <c r="AN37" s="145"/>
      <c r="AO37" s="146" t="str">
        <f>AL22</f>
        <v>FMO</v>
      </c>
      <c r="AP37" s="209" t="str">
        <f>AO22</f>
        <v>FMO</v>
      </c>
      <c r="AQ37" s="147" t="str">
        <f>AP22</f>
        <v>FMO</v>
      </c>
    </row>
    <row r="38" spans="1:43" ht="15" customHeight="1" hidden="1">
      <c r="A38" s="75"/>
      <c r="B38" s="4" t="s">
        <v>1</v>
      </c>
      <c r="C38" s="75" t="s">
        <v>41</v>
      </c>
      <c r="D38" s="75" t="s">
        <v>82</v>
      </c>
      <c r="E38" s="323"/>
      <c r="F38" s="382" t="s">
        <v>84</v>
      </c>
      <c r="G38" s="84"/>
      <c r="H38" s="83"/>
      <c r="I38" s="75" t="s">
        <v>141</v>
      </c>
      <c r="J38" s="4" t="s">
        <v>15</v>
      </c>
      <c r="K38" s="4" t="s">
        <v>2</v>
      </c>
      <c r="AC38" s="195"/>
      <c r="AF38" s="148"/>
      <c r="AG38" s="149" t="s">
        <v>41</v>
      </c>
      <c r="AH38" s="150" t="s">
        <v>100</v>
      </c>
      <c r="AI38" s="151" t="s">
        <v>101</v>
      </c>
      <c r="AJ38" s="77"/>
      <c r="AK38" s="152" t="s">
        <v>41</v>
      </c>
      <c r="AL38" s="150" t="s">
        <v>100</v>
      </c>
      <c r="AM38" s="151" t="s">
        <v>101</v>
      </c>
      <c r="AN38" s="153" t="s">
        <v>131</v>
      </c>
      <c r="AO38" s="154">
        <f>AL30</f>
        <v>0</v>
      </c>
      <c r="AP38" s="154">
        <f>AO30*AM23</f>
        <v>0</v>
      </c>
      <c r="AQ38" s="155">
        <f>AP30*AN23</f>
        <v>0</v>
      </c>
    </row>
    <row r="39" spans="1:43" ht="15" customHeight="1" hidden="1">
      <c r="A39" s="75"/>
      <c r="B39" s="4" t="s">
        <v>2</v>
      </c>
      <c r="C39" s="75" t="s">
        <v>174</v>
      </c>
      <c r="D39" s="381">
        <v>0.58</v>
      </c>
      <c r="E39" s="96"/>
      <c r="F39" s="77" t="s">
        <v>41</v>
      </c>
      <c r="G39" s="77" t="s">
        <v>82</v>
      </c>
      <c r="H39" s="85"/>
      <c r="I39" s="75">
        <v>6</v>
      </c>
      <c r="J39" s="4" t="s">
        <v>16</v>
      </c>
      <c r="K39" s="4" t="s">
        <v>7</v>
      </c>
      <c r="AC39" s="195"/>
      <c r="AF39" s="122" t="s">
        <v>102</v>
      </c>
      <c r="AG39" s="157" t="s">
        <v>132</v>
      </c>
      <c r="AH39" s="158">
        <f>AF18</f>
        <v>0</v>
      </c>
      <c r="AI39" s="159">
        <f>AG18</f>
        <v>0</v>
      </c>
      <c r="AJ39" s="77"/>
      <c r="AK39" s="160" t="str">
        <f>$AD$11</f>
        <v>FMO</v>
      </c>
      <c r="AL39" s="143"/>
      <c r="AM39" s="144"/>
      <c r="AN39" s="161" t="s">
        <v>130</v>
      </c>
      <c r="AO39" s="154">
        <f>AL31</f>
        <v>0</v>
      </c>
      <c r="AP39" s="154">
        <f>AO31*AM23</f>
        <v>0</v>
      </c>
      <c r="AQ39" s="155">
        <f>AP31*AN23</f>
        <v>0</v>
      </c>
    </row>
    <row r="40" spans="1:43" ht="15" customHeight="1" hidden="1">
      <c r="A40" s="75"/>
      <c r="B40" s="4" t="s">
        <v>7</v>
      </c>
      <c r="C40" s="75" t="s">
        <v>176</v>
      </c>
      <c r="D40" s="381">
        <v>0.68</v>
      </c>
      <c r="E40" s="96"/>
      <c r="F40" s="383" t="s">
        <v>177</v>
      </c>
      <c r="G40" s="77"/>
      <c r="H40" s="85"/>
      <c r="I40" s="75">
        <v>8</v>
      </c>
      <c r="J40" s="4" t="s">
        <v>17</v>
      </c>
      <c r="K40" s="4" t="s">
        <v>27</v>
      </c>
      <c r="AC40" s="195"/>
      <c r="AF40" s="148"/>
      <c r="AG40" s="162"/>
      <c r="AH40" s="149"/>
      <c r="AI40" s="163"/>
      <c r="AJ40" s="77"/>
      <c r="AK40" s="152" t="s">
        <v>41</v>
      </c>
      <c r="AL40" s="150" t="s">
        <v>100</v>
      </c>
      <c r="AM40" s="151" t="s">
        <v>101</v>
      </c>
      <c r="AN40" s="153"/>
      <c r="AO40" s="154"/>
      <c r="AP40" s="154"/>
      <c r="AQ40" s="164"/>
    </row>
    <row r="41" spans="1:43" ht="15" customHeight="1" hidden="1">
      <c r="A41" s="75"/>
      <c r="B41" s="4" t="s">
        <v>27</v>
      </c>
      <c r="C41" s="75" t="s">
        <v>177</v>
      </c>
      <c r="D41" s="381">
        <v>0.64</v>
      </c>
      <c r="E41" s="89" t="s">
        <v>83</v>
      </c>
      <c r="F41" s="165">
        <f>IF(F40=C42,O31,DGET($C$38:$D$47,$D$38,F39:G40))</f>
        <v>0.64</v>
      </c>
      <c r="G41" s="76"/>
      <c r="H41" s="90"/>
      <c r="I41" s="75">
        <v>10</v>
      </c>
      <c r="J41" s="4" t="s">
        <v>18</v>
      </c>
      <c r="K41" s="4" t="s">
        <v>15</v>
      </c>
      <c r="AC41" s="195"/>
      <c r="AF41" s="96"/>
      <c r="AG41" s="162"/>
      <c r="AH41" s="77"/>
      <c r="AI41" s="85"/>
      <c r="AJ41" s="77"/>
      <c r="AK41" s="160" t="str">
        <f>$AD$13</f>
        <v>FMO</v>
      </c>
      <c r="AL41" s="143"/>
      <c r="AM41" s="144"/>
      <c r="AN41" s="166" t="s">
        <v>150</v>
      </c>
      <c r="AO41" s="167"/>
      <c r="AP41" s="210" t="str">
        <f>AL22</f>
        <v>FMO</v>
      </c>
      <c r="AQ41" s="168">
        <f>MAX(AO38:AQ39)</f>
        <v>0</v>
      </c>
    </row>
    <row r="42" spans="1:39" ht="15" customHeight="1" hidden="1">
      <c r="A42" s="75"/>
      <c r="B42" s="4" t="s">
        <v>15</v>
      </c>
      <c r="C42" s="75" t="s">
        <v>175</v>
      </c>
      <c r="D42" s="75"/>
      <c r="E42" s="323"/>
      <c r="F42" s="382" t="s">
        <v>85</v>
      </c>
      <c r="G42" s="84"/>
      <c r="H42" s="83"/>
      <c r="I42" s="75">
        <v>12</v>
      </c>
      <c r="J42" s="4" t="s">
        <v>19</v>
      </c>
      <c r="K42" s="4" t="s">
        <v>16</v>
      </c>
      <c r="AC42" s="195"/>
      <c r="AF42" s="122" t="s">
        <v>103</v>
      </c>
      <c r="AG42" s="157" t="s">
        <v>133</v>
      </c>
      <c r="AH42" s="158">
        <f>AF20</f>
        <v>0</v>
      </c>
      <c r="AI42" s="159">
        <f>AG20</f>
        <v>0</v>
      </c>
      <c r="AJ42" s="77"/>
      <c r="AK42" s="152" t="s">
        <v>41</v>
      </c>
      <c r="AL42" s="150" t="s">
        <v>100</v>
      </c>
      <c r="AM42" s="151" t="s">
        <v>101</v>
      </c>
    </row>
    <row r="43" spans="1:43" ht="15" customHeight="1" hidden="1">
      <c r="A43" s="75"/>
      <c r="B43" s="4" t="s">
        <v>16</v>
      </c>
      <c r="C43" s="75" t="s">
        <v>77</v>
      </c>
      <c r="D43" s="381">
        <v>0.4</v>
      </c>
      <c r="E43" s="96"/>
      <c r="F43" s="77" t="s">
        <v>41</v>
      </c>
      <c r="G43" s="77" t="s">
        <v>82</v>
      </c>
      <c r="H43" s="85"/>
      <c r="I43" s="75">
        <v>14</v>
      </c>
      <c r="J43" s="4" t="s">
        <v>20</v>
      </c>
      <c r="K43" s="4" t="s">
        <v>17</v>
      </c>
      <c r="AC43" s="195"/>
      <c r="AF43" s="122" t="s">
        <v>103</v>
      </c>
      <c r="AG43" s="157" t="s">
        <v>134</v>
      </c>
      <c r="AH43" s="158">
        <f>AF21</f>
        <v>0</v>
      </c>
      <c r="AI43" s="159">
        <f>AG21</f>
        <v>0</v>
      </c>
      <c r="AJ43" s="76"/>
      <c r="AK43" s="160" t="str">
        <f>$AD$15</f>
        <v>FMO</v>
      </c>
      <c r="AL43" s="143"/>
      <c r="AM43" s="144"/>
      <c r="AQ43" s="75" t="s">
        <v>141</v>
      </c>
    </row>
    <row r="44" spans="1:43" ht="15" customHeight="1" hidden="1">
      <c r="A44" s="75"/>
      <c r="B44" s="4" t="s">
        <v>17</v>
      </c>
      <c r="C44" s="75" t="s">
        <v>78</v>
      </c>
      <c r="D44" s="381">
        <v>0.33</v>
      </c>
      <c r="E44" s="96"/>
      <c r="F44" s="383" t="s">
        <v>77</v>
      </c>
      <c r="G44" s="77"/>
      <c r="H44" s="85"/>
      <c r="I44" s="75">
        <v>16</v>
      </c>
      <c r="J44" s="4" t="s">
        <v>1</v>
      </c>
      <c r="K44" s="4" t="s">
        <v>18</v>
      </c>
      <c r="AC44" s="195"/>
      <c r="AF44" s="118" t="s">
        <v>106</v>
      </c>
      <c r="AG44" s="77"/>
      <c r="AH44" s="77"/>
      <c r="AI44" s="84"/>
      <c r="AJ44" s="84"/>
      <c r="AK44" s="160"/>
      <c r="AL44" s="143"/>
      <c r="AM44" s="144"/>
      <c r="AQ44" s="327">
        <v>6</v>
      </c>
    </row>
    <row r="45" spans="1:43" ht="15" customHeight="1" hidden="1">
      <c r="A45" s="75"/>
      <c r="B45" s="4" t="s">
        <v>18</v>
      </c>
      <c r="C45" s="75"/>
      <c r="D45" s="381"/>
      <c r="E45" s="89" t="s">
        <v>83</v>
      </c>
      <c r="F45" s="165">
        <f>DGET($C$38:$D$49,$D$38,F43:G44)</f>
        <v>0.4</v>
      </c>
      <c r="G45" s="76"/>
      <c r="H45" s="90"/>
      <c r="I45" s="75">
        <v>18</v>
      </c>
      <c r="J45" s="4" t="s">
        <v>21</v>
      </c>
      <c r="K45" s="4" t="s">
        <v>19</v>
      </c>
      <c r="AC45" s="195"/>
      <c r="AF45" s="96"/>
      <c r="AG45" s="77"/>
      <c r="AH45" s="169" t="s">
        <v>0</v>
      </c>
      <c r="AI45" s="169" t="s">
        <v>133</v>
      </c>
      <c r="AJ45" s="170" t="s">
        <v>134</v>
      </c>
      <c r="AK45" s="152" t="s">
        <v>41</v>
      </c>
      <c r="AL45" s="150" t="s">
        <v>100</v>
      </c>
      <c r="AM45" s="151" t="s">
        <v>101</v>
      </c>
      <c r="AQ45" s="327">
        <v>8</v>
      </c>
    </row>
    <row r="46" spans="1:43" ht="15" customHeight="1" hidden="1">
      <c r="A46" s="75"/>
      <c r="B46" s="4" t="s">
        <v>19</v>
      </c>
      <c r="C46" s="75"/>
      <c r="D46" s="381"/>
      <c r="E46" s="75">
        <f>IF($C$42=$F$40,0,1)</f>
        <v>1</v>
      </c>
      <c r="F46" s="75"/>
      <c r="G46" s="75"/>
      <c r="H46" s="75"/>
      <c r="I46" s="75">
        <v>20</v>
      </c>
      <c r="J46" s="4" t="s">
        <v>26</v>
      </c>
      <c r="K46" s="4" t="s">
        <v>20</v>
      </c>
      <c r="AC46" s="195"/>
      <c r="AF46" s="122" t="s">
        <v>104</v>
      </c>
      <c r="AG46" s="112"/>
      <c r="AH46" s="171">
        <f>AH24</f>
        <v>0</v>
      </c>
      <c r="AI46" s="171">
        <f>AI24</f>
        <v>0</v>
      </c>
      <c r="AJ46" s="172">
        <f>AJ24</f>
        <v>0</v>
      </c>
      <c r="AK46" s="160" t="str">
        <f>$AD$11</f>
        <v>FMO</v>
      </c>
      <c r="AL46" s="143"/>
      <c r="AM46" s="144"/>
      <c r="AQ46" s="327">
        <v>10</v>
      </c>
    </row>
    <row r="47" spans="1:43" ht="15" customHeight="1" hidden="1">
      <c r="A47" s="75"/>
      <c r="B47" s="4" t="s">
        <v>20</v>
      </c>
      <c r="C47" s="75"/>
      <c r="D47" s="381"/>
      <c r="E47" s="292">
        <f>IF($C$42=$F$40,1,0)</f>
        <v>0</v>
      </c>
      <c r="F47" s="292" t="s">
        <v>180</v>
      </c>
      <c r="G47" s="292"/>
      <c r="H47" s="292"/>
      <c r="I47" s="75">
        <v>22</v>
      </c>
      <c r="J47" s="4" t="s">
        <v>2</v>
      </c>
      <c r="K47" s="4" t="s">
        <v>21</v>
      </c>
      <c r="AC47" s="195"/>
      <c r="AF47" s="125" t="s">
        <v>37</v>
      </c>
      <c r="AG47" s="112"/>
      <c r="AH47" s="171">
        <f aca="true" t="shared" si="13" ref="AH47:AJ48">AH25</f>
        <v>0</v>
      </c>
      <c r="AI47" s="171">
        <f t="shared" si="13"/>
        <v>0</v>
      </c>
      <c r="AJ47" s="172">
        <f t="shared" si="13"/>
        <v>0</v>
      </c>
      <c r="AK47" s="152" t="s">
        <v>41</v>
      </c>
      <c r="AL47" s="150" t="s">
        <v>100</v>
      </c>
      <c r="AM47" s="151" t="s">
        <v>101</v>
      </c>
      <c r="AQ47" s="327">
        <v>12</v>
      </c>
    </row>
    <row r="48" spans="1:43" ht="15" customHeight="1" hidden="1">
      <c r="A48" s="75"/>
      <c r="B48" s="4" t="s">
        <v>21</v>
      </c>
      <c r="C48" s="75"/>
      <c r="D48" s="381"/>
      <c r="E48" s="75"/>
      <c r="F48" s="75"/>
      <c r="G48" s="75"/>
      <c r="H48" s="75"/>
      <c r="I48" s="75">
        <v>24</v>
      </c>
      <c r="J48" s="4" t="s">
        <v>7</v>
      </c>
      <c r="K48" s="4" t="s">
        <v>26</v>
      </c>
      <c r="AC48" s="195"/>
      <c r="AF48" s="125" t="s">
        <v>54</v>
      </c>
      <c r="AG48" s="112"/>
      <c r="AH48" s="171">
        <f t="shared" si="13"/>
        <v>0</v>
      </c>
      <c r="AI48" s="171">
        <f t="shared" si="13"/>
        <v>0</v>
      </c>
      <c r="AJ48" s="172">
        <f t="shared" si="13"/>
        <v>0</v>
      </c>
      <c r="AK48" s="160" t="str">
        <f>$AD$13</f>
        <v>FMO</v>
      </c>
      <c r="AL48" s="143"/>
      <c r="AM48" s="144"/>
      <c r="AQ48" s="327">
        <v>14</v>
      </c>
    </row>
    <row r="49" spans="1:43" ht="5.25" customHeight="1" hidden="1">
      <c r="A49" s="75"/>
      <c r="B49" s="4" t="s">
        <v>26</v>
      </c>
      <c r="C49" s="75"/>
      <c r="D49" s="381"/>
      <c r="E49" s="75"/>
      <c r="F49" s="75"/>
      <c r="G49" s="75"/>
      <c r="H49" s="75"/>
      <c r="I49" s="75">
        <v>26</v>
      </c>
      <c r="J49" s="4" t="s">
        <v>22</v>
      </c>
      <c r="K49" s="4" t="s">
        <v>22</v>
      </c>
      <c r="AC49" s="195"/>
      <c r="AF49" s="96"/>
      <c r="AG49" s="77"/>
      <c r="AH49" s="77"/>
      <c r="AI49" s="77"/>
      <c r="AJ49" s="77"/>
      <c r="AK49" s="173" t="s">
        <v>41</v>
      </c>
      <c r="AL49" s="174" t="s">
        <v>100</v>
      </c>
      <c r="AM49" s="175" t="s">
        <v>101</v>
      </c>
      <c r="AQ49" s="327">
        <v>16</v>
      </c>
    </row>
    <row r="50" spans="1:43" ht="8.25" customHeight="1" hidden="1">
      <c r="A50" s="75"/>
      <c r="B50" s="4" t="s">
        <v>22</v>
      </c>
      <c r="C50" s="75"/>
      <c r="D50" s="381"/>
      <c r="E50" s="75"/>
      <c r="F50" s="75"/>
      <c r="G50" s="75"/>
      <c r="H50" s="75"/>
      <c r="I50" s="75">
        <v>28</v>
      </c>
      <c r="J50" s="4" t="s">
        <v>23</v>
      </c>
      <c r="K50" s="4" t="s">
        <v>23</v>
      </c>
      <c r="AC50" s="195"/>
      <c r="AF50" s="89"/>
      <c r="AG50" s="76"/>
      <c r="AH50" s="76"/>
      <c r="AI50" s="76"/>
      <c r="AJ50" s="76"/>
      <c r="AK50" s="176" t="str">
        <f>$AD$15</f>
        <v>FMO</v>
      </c>
      <c r="AL50" s="176"/>
      <c r="AM50" s="177"/>
      <c r="AQ50" s="327">
        <v>18</v>
      </c>
    </row>
    <row r="51" spans="1:43" ht="6" customHeight="1" hidden="1">
      <c r="A51" s="75"/>
      <c r="B51" s="4" t="s">
        <v>23</v>
      </c>
      <c r="C51" s="75"/>
      <c r="D51" s="75"/>
      <c r="E51" s="75"/>
      <c r="F51" s="75"/>
      <c r="G51" s="75"/>
      <c r="H51" s="75"/>
      <c r="I51" s="75">
        <v>30</v>
      </c>
      <c r="J51" s="4" t="s">
        <v>24</v>
      </c>
      <c r="K51" s="4" t="s">
        <v>24</v>
      </c>
      <c r="AC51" s="195"/>
      <c r="AK51" s="1"/>
      <c r="AL51" s="1"/>
      <c r="AM51" s="1"/>
      <c r="AN51" s="1"/>
      <c r="AO51" s="1"/>
      <c r="AP51" s="18"/>
      <c r="AQ51" s="327">
        <v>20</v>
      </c>
    </row>
    <row r="52" spans="1:43" ht="15" customHeight="1" hidden="1">
      <c r="A52" s="75"/>
      <c r="B52" s="4" t="s">
        <v>24</v>
      </c>
      <c r="C52" s="75"/>
      <c r="D52" s="75"/>
      <c r="E52" s="75"/>
      <c r="F52" s="75"/>
      <c r="G52" s="75"/>
      <c r="H52" s="75"/>
      <c r="I52" s="75">
        <v>32</v>
      </c>
      <c r="J52" s="4" t="s">
        <v>27</v>
      </c>
      <c r="K52" s="4" t="s">
        <v>25</v>
      </c>
      <c r="AC52" s="195"/>
      <c r="AJ52" s="245" t="s">
        <v>140</v>
      </c>
      <c r="AK52" s="325"/>
      <c r="AL52" s="326">
        <v>3.6</v>
      </c>
      <c r="AM52" s="326" t="s">
        <v>145</v>
      </c>
      <c r="AN52" s="14"/>
      <c r="AO52" s="14"/>
      <c r="AP52" s="24"/>
      <c r="AQ52" s="327">
        <v>22</v>
      </c>
    </row>
    <row r="53" spans="1:43" ht="17.25" customHeight="1" hidden="1">
      <c r="A53" s="75"/>
      <c r="B53" s="4" t="s">
        <v>25</v>
      </c>
      <c r="C53" s="75"/>
      <c r="D53" s="75"/>
      <c r="E53" s="75"/>
      <c r="F53" s="75"/>
      <c r="G53" s="75"/>
      <c r="H53" s="75"/>
      <c r="I53" s="75">
        <v>34</v>
      </c>
      <c r="J53" s="4" t="s">
        <v>25</v>
      </c>
      <c r="AC53" s="195"/>
      <c r="AJ53" s="320" t="s">
        <v>178</v>
      </c>
      <c r="AK53" s="398" t="s">
        <v>197</v>
      </c>
      <c r="AL53" s="302"/>
      <c r="AM53" s="348" t="s">
        <v>201</v>
      </c>
      <c r="AN53" s="349">
        <f>DGET('DB Baumarten'!$A$1:$G$52,'DB Baumarten'!G1,'DB Baumarten'!$K$8:$Q$9)</f>
        <v>20.4</v>
      </c>
      <c r="AO53" s="330"/>
      <c r="AP53" s="331"/>
      <c r="AQ53" s="327">
        <v>24</v>
      </c>
    </row>
    <row r="54" spans="1:43" ht="17.25" customHeight="1" hidden="1">
      <c r="A54" s="75"/>
      <c r="B54" s="10"/>
      <c r="C54" s="75"/>
      <c r="D54" s="75"/>
      <c r="E54" s="75"/>
      <c r="F54" s="75"/>
      <c r="G54" s="75"/>
      <c r="H54" s="75"/>
      <c r="I54" s="75">
        <v>36</v>
      </c>
      <c r="AC54" s="195"/>
      <c r="AJ54" s="96" t="str">
        <f>B21</f>
        <v>Einh. 2</v>
      </c>
      <c r="AK54" s="17"/>
      <c r="AL54" s="42"/>
      <c r="AM54" s="350" t="s">
        <v>205</v>
      </c>
      <c r="AN54" s="352">
        <f>AJ5</f>
        <v>430</v>
      </c>
      <c r="AO54" s="332" t="s">
        <v>199</v>
      </c>
      <c r="AP54" s="333" t="s">
        <v>141</v>
      </c>
      <c r="AQ54" s="327">
        <v>26</v>
      </c>
    </row>
    <row r="55" spans="1:43" ht="17.25" customHeight="1" hidden="1">
      <c r="A55" s="75"/>
      <c r="B55" s="75"/>
      <c r="C55" s="75"/>
      <c r="D55" s="75"/>
      <c r="E55" s="75"/>
      <c r="F55" s="75"/>
      <c r="G55" s="75"/>
      <c r="H55" s="75"/>
      <c r="I55" s="75">
        <v>38</v>
      </c>
      <c r="AC55" s="195"/>
      <c r="AJ55" s="96" t="str">
        <f>B23</f>
        <v>FMM</v>
      </c>
      <c r="AK55" s="395" t="s">
        <v>139</v>
      </c>
      <c r="AL55" s="397" t="e">
        <f>IF(AP54*1&gt;23,AP54*1,23)</f>
        <v>#VALUE!</v>
      </c>
      <c r="AM55" s="42"/>
      <c r="AN55" s="42"/>
      <c r="AO55" s="332" t="s">
        <v>192</v>
      </c>
      <c r="AP55" s="334">
        <f>DGET('DB Baumarten'!$A$1:$G$52,'DB Baumarten'!F1,'DB Baumarten'!$K$8:$Q$9)</f>
        <v>0.062</v>
      </c>
      <c r="AQ55" s="327">
        <v>28</v>
      </c>
    </row>
    <row r="56" spans="1:43" ht="17.25" customHeight="1" hidden="1">
      <c r="A56" s="75"/>
      <c r="B56" s="75"/>
      <c r="C56" s="75"/>
      <c r="D56" s="75"/>
      <c r="E56" s="75"/>
      <c r="F56" s="75"/>
      <c r="G56" s="75"/>
      <c r="H56" s="75"/>
      <c r="I56" s="75">
        <v>40</v>
      </c>
      <c r="AC56" s="195"/>
      <c r="AH56" s="341" t="e">
        <f>$AJ$5*(1-AP54/AL55*$AP$56)/(1-$AP$54/100)</f>
        <v>#VALUE!</v>
      </c>
      <c r="AJ56" s="96" t="str">
        <f>B25</f>
        <v>RMM</v>
      </c>
      <c r="AK56" s="330" t="s">
        <v>204</v>
      </c>
      <c r="AL56" s="341" t="e">
        <f>$AJ$5*(1-AP54/AL55*$AP$56)/(1-$AP$54/100)</f>
        <v>#VALUE!</v>
      </c>
      <c r="AN56" s="42"/>
      <c r="AO56" s="335" t="s">
        <v>202</v>
      </c>
      <c r="AP56" s="336">
        <f>DGET('DB Baumarten'!A1:I500,'DB Baumarten'!H1,'DB Baumarten'!K8:R9)</f>
        <v>0.117</v>
      </c>
      <c r="AQ56" s="327">
        <v>30</v>
      </c>
    </row>
    <row r="57" spans="1:43" ht="17.25" customHeight="1" hidden="1">
      <c r="A57" s="75"/>
      <c r="B57" s="75"/>
      <c r="C57" s="75"/>
      <c r="D57" s="75"/>
      <c r="E57" s="75"/>
      <c r="F57" s="75"/>
      <c r="G57" s="75"/>
      <c r="H57" s="75"/>
      <c r="AC57" s="195"/>
      <c r="AJ57" s="96" t="str">
        <f>B27</f>
        <v>Srm M</v>
      </c>
      <c r="AK57" s="332" t="s">
        <v>155</v>
      </c>
      <c r="AL57" s="342" t="e">
        <f>$AN$53*(1-$AP$54/100)-2.447*$AP$54/100-$AP$55/2*18.02*2.447*(1-$AP$54/100)</f>
        <v>#VALUE!</v>
      </c>
      <c r="AM57" s="304"/>
      <c r="AN57" s="316">
        <f>AN15</f>
        <v>0</v>
      </c>
      <c r="AO57" s="45" t="s">
        <v>128</v>
      </c>
      <c r="AP57" s="311" t="s">
        <v>3</v>
      </c>
      <c r="AQ57" s="327">
        <v>32</v>
      </c>
    </row>
    <row r="58" spans="1:43" ht="17.25" customHeight="1" hidden="1">
      <c r="A58" s="75"/>
      <c r="B58" s="75"/>
      <c r="C58" s="75"/>
      <c r="D58" s="75"/>
      <c r="E58" s="75"/>
      <c r="F58" s="75"/>
      <c r="G58" s="75"/>
      <c r="H58" s="75"/>
      <c r="AC58" s="195"/>
      <c r="AJ58" s="96" t="str">
        <f>B28</f>
        <v>AMM</v>
      </c>
      <c r="AK58" s="335" t="s">
        <v>203</v>
      </c>
      <c r="AL58" s="339" t="e">
        <f>AL56*AL57</f>
        <v>#VALUE!</v>
      </c>
      <c r="AM58" s="42"/>
      <c r="AN58" s="42"/>
      <c r="AO58" s="42"/>
      <c r="AP58" s="308"/>
      <c r="AQ58" s="327">
        <v>34</v>
      </c>
    </row>
    <row r="59" spans="1:45" ht="17.25" customHeight="1" hidden="1">
      <c r="A59" s="10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AC59" s="195"/>
      <c r="AJ59" s="96" t="str">
        <f>B29</f>
        <v>RM_1,0</v>
      </c>
      <c r="AK59" s="17"/>
      <c r="AL59" s="304" t="s">
        <v>186</v>
      </c>
      <c r="AM59" s="317" t="s">
        <v>3</v>
      </c>
      <c r="AN59" s="42" t="s">
        <v>144</v>
      </c>
      <c r="AO59" s="63" t="e">
        <f>1000/AL56</f>
        <v>#VALUE!</v>
      </c>
      <c r="AP59" s="308"/>
      <c r="AQ59" s="327">
        <v>36</v>
      </c>
      <c r="AS59" s="291"/>
    </row>
    <row r="60" spans="1:43" ht="17.25" customHeight="1" hidden="1">
      <c r="A60" s="106" t="s">
        <v>61</v>
      </c>
      <c r="B60" s="107" t="str">
        <f>A7</f>
        <v>FMO</v>
      </c>
      <c r="C60" s="107" t="str">
        <f>A8</f>
        <v>FMM</v>
      </c>
      <c r="D60" s="107" t="str">
        <f>A9</f>
        <v>RMO</v>
      </c>
      <c r="E60" s="107" t="str">
        <f>A10</f>
        <v>RMM</v>
      </c>
      <c r="F60" s="107" t="str">
        <f>A11</f>
        <v>Srm O</v>
      </c>
      <c r="G60" s="107" t="str">
        <f>A12</f>
        <v>Srm M</v>
      </c>
      <c r="H60" s="107" t="str">
        <f>A13</f>
        <v>AMM</v>
      </c>
      <c r="I60" s="107" t="str">
        <f>A14</f>
        <v>RM_1,0</v>
      </c>
      <c r="J60" s="107" t="str">
        <f>A15</f>
        <v>RM_0,35</v>
      </c>
      <c r="K60" s="107" t="str">
        <f>A16</f>
        <v>Srm_0,35</v>
      </c>
      <c r="AC60" s="195"/>
      <c r="AJ60" s="96" t="str">
        <f>B30</f>
        <v>RM_0,35</v>
      </c>
      <c r="AK60" s="17"/>
      <c r="AL60" s="304" t="s">
        <v>196</v>
      </c>
      <c r="AM60" s="317" t="str">
        <f>AP57</f>
        <v>FMM</v>
      </c>
      <c r="AN60" s="42" t="s">
        <v>179</v>
      </c>
      <c r="AO60" s="42">
        <f>IF(AM60=AJ58,AP63,DGET('DB Maßeinheiten'!$S$6:$AB$500,'DB Maßeinheiten'!$V$6,'Eingabe und Berechnung'!O13:X14))</f>
        <v>1</v>
      </c>
      <c r="AP60" s="308"/>
      <c r="AQ60" s="327">
        <v>38</v>
      </c>
    </row>
    <row r="61" spans="1:45" ht="17.25" customHeight="1" hidden="1">
      <c r="A61" s="109" t="s">
        <v>97</v>
      </c>
      <c r="B61" s="110">
        <f aca="true" t="shared" si="14" ref="B61:G61">IF(B$60=$AH$45,$AH$46,IF(B$60=$AI$45,$AI$46,IF(B$60=$AJ$45,$AJ$46,0)))</f>
        <v>0</v>
      </c>
      <c r="C61" s="110">
        <f t="shared" si="14"/>
        <v>0</v>
      </c>
      <c r="D61" s="110">
        <f t="shared" si="14"/>
        <v>0</v>
      </c>
      <c r="E61" s="110">
        <f t="shared" si="14"/>
        <v>0</v>
      </c>
      <c r="F61" s="110">
        <f t="shared" si="14"/>
        <v>0</v>
      </c>
      <c r="G61" s="110">
        <f t="shared" si="14"/>
        <v>0</v>
      </c>
      <c r="H61" s="110">
        <f>IF(H$60=$AH$45,$AH$46,IF(H$60=$AI$45,$AI$46,IF(H$60=$AJ$45,$AJ$46,0)))</f>
        <v>0</v>
      </c>
      <c r="I61" s="110">
        <f>IF(I$60=$AH$45,$AH$46,IF(I$60=$AI$45,$AI$46,IF(I$60=$AJ$45,$AJ$46,0)))</f>
        <v>0</v>
      </c>
      <c r="J61" s="110">
        <f>IF(J$60=$AH$45,$AH$46,IF(J$60=$AI$45,$AI$46,IF(J$60=$AJ$45,$AJ$46,0)))</f>
        <v>0</v>
      </c>
      <c r="K61" s="110">
        <f>IF(K$60=$AH$45,$AH$46,IF(K$60=$AI$45,$AI$46,IF(K$60=$AJ$45,$AJ$46,0)))</f>
        <v>0</v>
      </c>
      <c r="AC61" s="195"/>
      <c r="AJ61" s="96" t="str">
        <f>B31</f>
        <v>Srm_0,35</v>
      </c>
      <c r="AK61" s="17"/>
      <c r="AL61" s="304" t="s">
        <v>195</v>
      </c>
      <c r="AM61" s="317" t="s">
        <v>133</v>
      </c>
      <c r="AN61" s="42" t="str">
        <f>"je "&amp;AM60</f>
        <v>je FMM</v>
      </c>
      <c r="AO61" s="63" t="e">
        <f>DGET('DB Maßeinheiten'!$S$6:$AB$500,'DB Maßeinheiten'!$V$6,O15:X16)</f>
        <v>#VALUE!</v>
      </c>
      <c r="AP61" s="308"/>
      <c r="AQ61" s="327">
        <v>40</v>
      </c>
      <c r="AS61" s="291"/>
    </row>
    <row r="62" spans="1:45" ht="17.25" customHeight="1" hidden="1">
      <c r="A62" s="109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AC62" s="195"/>
      <c r="AJ62" s="96"/>
      <c r="AK62" s="17"/>
      <c r="AL62" s="42"/>
      <c r="AM62" s="317" t="str">
        <f>AM61</f>
        <v>Einh. 2</v>
      </c>
      <c r="AN62" s="42" t="s">
        <v>179</v>
      </c>
      <c r="AO62" s="42" t="e">
        <f>DGET('DB Maßeinheiten'!$S$6:$AB$500,'DB Maßeinheiten'!$V$6,O17:X18)</f>
        <v>#VALUE!</v>
      </c>
      <c r="AQ62" s="327">
        <v>42</v>
      </c>
      <c r="AS62" s="291"/>
    </row>
    <row r="63" spans="1:45" ht="17.25" customHeight="1" hidden="1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AC63" s="195"/>
      <c r="AJ63" s="96"/>
      <c r="AK63" s="17"/>
      <c r="AL63" s="42"/>
      <c r="AM63" s="305"/>
      <c r="AO63" s="369" t="s">
        <v>211</v>
      </c>
      <c r="AP63" s="308" t="e">
        <f>$AL$56*(100-$AO$13)/100/1000</f>
        <v>#VALUE!</v>
      </c>
      <c r="AQ63" s="327">
        <v>44</v>
      </c>
      <c r="AS63" s="291"/>
    </row>
    <row r="64" spans="1:43" ht="17.25" customHeight="1" hidden="1">
      <c r="A64" s="109" t="s">
        <v>37</v>
      </c>
      <c r="B64" s="110">
        <f aca="true" t="shared" si="15" ref="B64:K64">IF(B$60=$AH$45,$AH$47,IF(B$60=$AI$45,$AI$47,IF(B$60=$AJ$45,$AJ$47,0)))</f>
        <v>0</v>
      </c>
      <c r="C64" s="110">
        <f t="shared" si="15"/>
        <v>0</v>
      </c>
      <c r="D64" s="110">
        <f t="shared" si="15"/>
        <v>0</v>
      </c>
      <c r="E64" s="110">
        <f t="shared" si="15"/>
        <v>0</v>
      </c>
      <c r="F64" s="110">
        <f t="shared" si="15"/>
        <v>0</v>
      </c>
      <c r="G64" s="110">
        <f t="shared" si="15"/>
        <v>0</v>
      </c>
      <c r="H64" s="110">
        <f t="shared" si="15"/>
        <v>0</v>
      </c>
      <c r="I64" s="110">
        <f t="shared" si="15"/>
        <v>0</v>
      </c>
      <c r="J64" s="110">
        <f t="shared" si="15"/>
        <v>0</v>
      </c>
      <c r="K64" s="110">
        <f t="shared" si="15"/>
        <v>0</v>
      </c>
      <c r="AC64" s="195"/>
      <c r="AJ64" s="96">
        <f>B32</f>
        <v>0</v>
      </c>
      <c r="AK64" s="17"/>
      <c r="AL64" s="42"/>
      <c r="AM64" s="42"/>
      <c r="AN64" s="304" t="s">
        <v>189</v>
      </c>
      <c r="AO64" s="63" t="s">
        <v>29</v>
      </c>
      <c r="AP64" s="308" t="e">
        <f>1/AP63</f>
        <v>#VALUE!</v>
      </c>
      <c r="AQ64" s="327">
        <v>46</v>
      </c>
    </row>
    <row r="65" spans="1:43" ht="17.25" customHeight="1" hidden="1">
      <c r="A65" s="109" t="s">
        <v>54</v>
      </c>
      <c r="B65" s="110">
        <f aca="true" t="shared" si="16" ref="B65:K65">IF(B$60=$AH$45,$AH$48,IF(B$60=$AI$45,$AI$48,IF(B$60=$AJ$45,$AJ$48,0)))</f>
        <v>0</v>
      </c>
      <c r="C65" s="110">
        <f t="shared" si="16"/>
        <v>0</v>
      </c>
      <c r="D65" s="110">
        <f t="shared" si="16"/>
        <v>0</v>
      </c>
      <c r="E65" s="110">
        <f t="shared" si="16"/>
        <v>0</v>
      </c>
      <c r="F65" s="110">
        <f t="shared" si="16"/>
        <v>0</v>
      </c>
      <c r="G65" s="110">
        <f t="shared" si="16"/>
        <v>0</v>
      </c>
      <c r="H65" s="110">
        <f t="shared" si="16"/>
        <v>0</v>
      </c>
      <c r="I65" s="110">
        <f t="shared" si="16"/>
        <v>0</v>
      </c>
      <c r="J65" s="110">
        <f t="shared" si="16"/>
        <v>0</v>
      </c>
      <c r="K65" s="110">
        <f t="shared" si="16"/>
        <v>0</v>
      </c>
      <c r="AC65" s="195"/>
      <c r="AJ65" s="89"/>
      <c r="AK65" s="89"/>
      <c r="AL65" s="76"/>
      <c r="AM65" s="321"/>
      <c r="AN65" s="65"/>
      <c r="AO65" s="321"/>
      <c r="AP65" s="322"/>
      <c r="AQ65" s="327">
        <v>48</v>
      </c>
    </row>
    <row r="66" spans="1:43" ht="17.25" customHeight="1" hidden="1">
      <c r="A66" s="113"/>
      <c r="B66" s="103"/>
      <c r="C66" s="103"/>
      <c r="D66" s="103"/>
      <c r="E66" s="103"/>
      <c r="F66" s="103"/>
      <c r="G66" s="103"/>
      <c r="H66" s="114"/>
      <c r="I66" s="114"/>
      <c r="J66" s="114"/>
      <c r="K66" s="114"/>
      <c r="AC66" s="195"/>
      <c r="AJ66" s="323"/>
      <c r="AK66" s="399" t="s">
        <v>158</v>
      </c>
      <c r="AL66" s="42" t="str">
        <f>IF(AP69=B37,'DB Baumarten'!K2,'Eingabe und Berechnung'!AP69)</f>
        <v>Rotbuche</v>
      </c>
      <c r="AM66" s="50" t="s">
        <v>200</v>
      </c>
      <c r="AN66" s="393">
        <f>DGET('DB Baumarten'!$A$1:$J$101,'DB Baumarten'!G1,'DB Baumarten'!$K$10:$R$11)</f>
        <v>19.3</v>
      </c>
      <c r="AO66" s="332" t="s">
        <v>198</v>
      </c>
      <c r="AP66" s="394" t="s">
        <v>217</v>
      </c>
      <c r="AQ66" s="327">
        <v>50</v>
      </c>
    </row>
    <row r="67" spans="1:43" ht="17.25" customHeight="1" hidden="1">
      <c r="A67" s="75"/>
      <c r="B67" s="75"/>
      <c r="C67" s="75"/>
      <c r="D67" s="75"/>
      <c r="E67" s="75"/>
      <c r="F67" s="75"/>
      <c r="G67" s="75"/>
      <c r="H67" s="75"/>
      <c r="AC67" s="195"/>
      <c r="AJ67" s="96"/>
      <c r="AK67" s="330" t="s">
        <v>191</v>
      </c>
      <c r="AL67" s="341">
        <f>AN67*(1-AP66/AL70*AP68)/(1-AP66/100)</f>
        <v>704.5460060667341</v>
      </c>
      <c r="AM67" s="350" t="s">
        <v>205</v>
      </c>
      <c r="AN67" s="351">
        <f>DGET('DB Baumarten'!$A$1:$J$101,'DB Baumarten'!$E$1,'DB Baumarten'!$K$10:$R$11)</f>
        <v>680</v>
      </c>
      <c r="AO67" s="332" t="s">
        <v>192</v>
      </c>
      <c r="AP67" s="337">
        <f>DGET('DB Baumarten'!$A$1:$J$101,'DB Baumarten'!F1,'DB Baumarten'!$K$10:$R$11)</f>
        <v>0.06</v>
      </c>
      <c r="AQ67" s="327">
        <v>52</v>
      </c>
    </row>
    <row r="68" spans="1:43" ht="17.25" customHeight="1" hidden="1">
      <c r="A68" s="75"/>
      <c r="B68" s="75"/>
      <c r="C68" s="75"/>
      <c r="D68" s="75"/>
      <c r="E68" s="75"/>
      <c r="F68" s="75"/>
      <c r="G68" s="75"/>
      <c r="H68" s="75"/>
      <c r="AC68" s="195"/>
      <c r="AJ68" s="96"/>
      <c r="AK68" s="332" t="s">
        <v>156</v>
      </c>
      <c r="AL68" s="342">
        <f>AN66*(1-AP66/100)-2.447*AP66/100-AP67/2*18.02*2.447*(1-AP66/100)</f>
        <v>15.117770547999998</v>
      </c>
      <c r="AM68" s="42"/>
      <c r="AN68" s="42"/>
      <c r="AO68" s="335" t="s">
        <v>202</v>
      </c>
      <c r="AP68" s="338">
        <f>DGET('DB Baumarten'!$A$1:$J$101,'DB Baumarten'!H1,'DB Baumarten'!$K$10:$R$11)</f>
        <v>0.179</v>
      </c>
      <c r="AQ68" s="327">
        <v>54</v>
      </c>
    </row>
    <row r="69" spans="1:43" ht="17.25" customHeight="1" hidden="1">
      <c r="A69" s="75"/>
      <c r="B69" s="75"/>
      <c r="C69" s="75"/>
      <c r="D69" s="75"/>
      <c r="E69" s="75"/>
      <c r="F69" s="75"/>
      <c r="G69" s="75"/>
      <c r="H69" s="75"/>
      <c r="AC69" s="195"/>
      <c r="AJ69" s="96"/>
      <c r="AK69" s="335" t="s">
        <v>203</v>
      </c>
      <c r="AL69" s="340">
        <f>AL67*AL68</f>
        <v>10651.1648602267</v>
      </c>
      <c r="AM69" s="355"/>
      <c r="AN69" s="356"/>
      <c r="AO69" s="357" t="s">
        <v>208</v>
      </c>
      <c r="AP69" s="358" t="s">
        <v>24</v>
      </c>
      <c r="AQ69" s="327">
        <v>56</v>
      </c>
    </row>
    <row r="70" spans="1:43" ht="17.25" customHeight="1" hidden="1">
      <c r="A70" s="75"/>
      <c r="B70" s="75"/>
      <c r="C70" s="75"/>
      <c r="D70" s="75"/>
      <c r="E70" s="75"/>
      <c r="F70" s="75"/>
      <c r="G70" s="75"/>
      <c r="H70" s="75"/>
      <c r="AC70" s="195"/>
      <c r="AJ70" s="96"/>
      <c r="AK70" s="395" t="s">
        <v>139</v>
      </c>
      <c r="AL70" s="396">
        <f>IF(AP66*1&lt;24,23,AP66*1)</f>
        <v>23</v>
      </c>
      <c r="AM70" s="42"/>
      <c r="AN70" s="42"/>
      <c r="AO70" s="10"/>
      <c r="AP70" s="308"/>
      <c r="AQ70" s="327">
        <v>58</v>
      </c>
    </row>
    <row r="71" spans="1:43" ht="17.25" customHeight="1" hidden="1">
      <c r="A71" s="75"/>
      <c r="B71" s="75"/>
      <c r="C71" s="75"/>
      <c r="D71" s="75"/>
      <c r="E71" s="75"/>
      <c r="F71" s="75"/>
      <c r="G71" s="75"/>
      <c r="H71" s="75"/>
      <c r="AC71" s="195"/>
      <c r="AJ71" s="96"/>
      <c r="AK71" s="17"/>
      <c r="AL71" s="304" t="s">
        <v>186</v>
      </c>
      <c r="AM71" s="317" t="s">
        <v>3</v>
      </c>
      <c r="AN71" s="42" t="s">
        <v>144</v>
      </c>
      <c r="AO71" s="63">
        <f>1000/AL67</f>
        <v>1.4193537276333388</v>
      </c>
      <c r="AP71" s="308"/>
      <c r="AQ71" s="328"/>
    </row>
    <row r="72" spans="1:43" ht="17.25" customHeight="1" hidden="1">
      <c r="A72" s="75"/>
      <c r="B72" s="75"/>
      <c r="C72" s="75"/>
      <c r="D72" s="75"/>
      <c r="E72" s="75"/>
      <c r="F72" s="75"/>
      <c r="G72" s="75"/>
      <c r="H72" s="75"/>
      <c r="AC72" s="195"/>
      <c r="AJ72" s="96"/>
      <c r="AK72" s="17"/>
      <c r="AL72" s="304" t="s">
        <v>188</v>
      </c>
      <c r="AM72" s="45" t="str">
        <f>AP57</f>
        <v>FMM</v>
      </c>
      <c r="AN72" s="42" t="s">
        <v>179</v>
      </c>
      <c r="AO72" s="42"/>
      <c r="AP72" s="308"/>
      <c r="AQ72" s="328"/>
    </row>
    <row r="73" spans="1:43" ht="17.25" customHeight="1" hidden="1">
      <c r="A73" s="75"/>
      <c r="B73" s="75"/>
      <c r="C73" s="75"/>
      <c r="D73" s="75"/>
      <c r="E73" s="75"/>
      <c r="F73" s="75"/>
      <c r="G73" s="75"/>
      <c r="H73" s="75"/>
      <c r="AC73" s="195"/>
      <c r="AJ73" s="96"/>
      <c r="AK73" s="17"/>
      <c r="AL73" s="304"/>
      <c r="AM73" s="42"/>
      <c r="AN73" s="42"/>
      <c r="AO73" s="306" t="s">
        <v>187</v>
      </c>
      <c r="AP73" s="308">
        <f>AL67*(100-AL17)/100/1000</f>
        <v>0.7045460060667341</v>
      </c>
      <c r="AQ73" s="328"/>
    </row>
    <row r="74" spans="1:43" ht="17.25" customHeight="1" hidden="1">
      <c r="A74" s="75"/>
      <c r="B74" s="75"/>
      <c r="C74" s="75"/>
      <c r="D74" s="75"/>
      <c r="E74" s="75"/>
      <c r="F74" s="75"/>
      <c r="G74" s="75"/>
      <c r="H74" s="75"/>
      <c r="AC74" s="195"/>
      <c r="AG74" s="190"/>
      <c r="AJ74" s="313"/>
      <c r="AK74" s="303" t="s">
        <v>194</v>
      </c>
      <c r="AL74" s="343">
        <f>AL16</f>
        <v>0</v>
      </c>
      <c r="AM74" s="42" t="s">
        <v>190</v>
      </c>
      <c r="AN74" s="319" t="e">
        <f>AL74/AO59</f>
        <v>#VALUE!</v>
      </c>
      <c r="AO74" s="307" t="s">
        <v>179</v>
      </c>
      <c r="AP74" s="309"/>
      <c r="AQ74" s="328"/>
    </row>
    <row r="75" spans="1:43" ht="17.25" customHeight="1" hidden="1">
      <c r="A75" s="75"/>
      <c r="B75" s="75"/>
      <c r="C75" s="75"/>
      <c r="D75" s="75"/>
      <c r="E75" s="75"/>
      <c r="F75" s="75"/>
      <c r="G75" s="75"/>
      <c r="H75" s="75"/>
      <c r="AC75" s="195"/>
      <c r="AJ75" s="324"/>
      <c r="AK75" s="303" t="s">
        <v>193</v>
      </c>
      <c r="AL75" s="343">
        <f>IF($AO$13=$AQ$43,0,IF($AM$60=$AJ$58,$AN$15*AO71*$AP$63,$AN$15*AO71*$AO$60))</f>
        <v>0</v>
      </c>
      <c r="AM75" s="42" t="s">
        <v>190</v>
      </c>
      <c r="AN75" s="316">
        <f>AL16/AO71</f>
        <v>0</v>
      </c>
      <c r="AO75" s="42" t="s">
        <v>179</v>
      </c>
      <c r="AP75" s="308"/>
      <c r="AQ75" s="328"/>
    </row>
    <row r="76" spans="1:43" ht="17.25" customHeight="1" hidden="1">
      <c r="A76" s="75"/>
      <c r="B76" s="75"/>
      <c r="C76" s="75"/>
      <c r="D76" s="75"/>
      <c r="E76" s="75"/>
      <c r="F76" s="75"/>
      <c r="G76" s="75"/>
      <c r="H76" s="75"/>
      <c r="AC76" s="195"/>
      <c r="AJ76" s="96"/>
      <c r="AK76" s="17"/>
      <c r="AL76" s="304" t="s">
        <v>214</v>
      </c>
      <c r="AM76" s="42"/>
      <c r="AN76" s="200" t="e">
        <f>AL68/AL57</f>
        <v>#VALUE!</v>
      </c>
      <c r="AO76" s="307"/>
      <c r="AP76" s="308"/>
      <c r="AQ76" s="328"/>
    </row>
    <row r="77" spans="1:43" ht="17.25" customHeight="1" hidden="1">
      <c r="A77" s="75"/>
      <c r="B77" s="75"/>
      <c r="C77" s="75"/>
      <c r="D77" s="75"/>
      <c r="E77" s="75"/>
      <c r="F77" s="75"/>
      <c r="G77" s="75"/>
      <c r="H77" s="75"/>
      <c r="AC77" s="195"/>
      <c r="AJ77" s="313"/>
      <c r="AK77" s="353"/>
      <c r="AL77" s="314"/>
      <c r="AM77" s="302"/>
      <c r="AN77" s="315"/>
      <c r="AO77" s="302"/>
      <c r="AP77" s="354"/>
      <c r="AQ77" s="328"/>
    </row>
    <row r="78" spans="1:43" ht="9" customHeight="1" hidden="1">
      <c r="A78" s="75"/>
      <c r="B78" s="75"/>
      <c r="C78" s="75"/>
      <c r="D78" s="75"/>
      <c r="E78" s="75"/>
      <c r="F78" s="75"/>
      <c r="G78" s="75"/>
      <c r="H78" s="75"/>
      <c r="AC78" s="195"/>
      <c r="AJ78" s="96"/>
      <c r="AK78" s="17"/>
      <c r="AL78" s="304"/>
      <c r="AM78" s="45"/>
      <c r="AN78" s="319"/>
      <c r="AO78" s="319"/>
      <c r="AP78" s="312"/>
      <c r="AQ78" s="328"/>
    </row>
    <row r="79" spans="1:43" ht="17.25" customHeight="1" hidden="1">
      <c r="A79" s="75"/>
      <c r="B79" s="75"/>
      <c r="C79" s="75"/>
      <c r="D79" s="75"/>
      <c r="E79" s="75"/>
      <c r="F79" s="75"/>
      <c r="G79" s="75"/>
      <c r="H79" s="75"/>
      <c r="AC79" s="195"/>
      <c r="AJ79" s="318"/>
      <c r="AK79" s="19"/>
      <c r="AL79" s="310"/>
      <c r="AM79" s="374"/>
      <c r="AN79" s="375"/>
      <c r="AO79" s="65"/>
      <c r="AP79" s="322"/>
      <c r="AQ79" s="329"/>
    </row>
    <row r="80" spans="1:43" ht="17.25" customHeight="1" hidden="1">
      <c r="A80" s="75"/>
      <c r="B80" s="75"/>
      <c r="C80" s="75"/>
      <c r="D80" s="75"/>
      <c r="E80" s="75"/>
      <c r="F80" s="75"/>
      <c r="G80" s="75"/>
      <c r="H80" s="75"/>
      <c r="AC80" s="195"/>
      <c r="AK80" s="403" t="s">
        <v>212</v>
      </c>
      <c r="AL80" s="403"/>
      <c r="AM80" s="403"/>
      <c r="AN80" s="403"/>
      <c r="AO80" s="403"/>
      <c r="AP80" s="403"/>
      <c r="AQ80" s="403"/>
    </row>
    <row r="81" spans="1:43" ht="17.25" customHeight="1" hidden="1">
      <c r="A81" s="75"/>
      <c r="B81" s="75"/>
      <c r="C81" s="75"/>
      <c r="D81" s="75"/>
      <c r="E81" s="75"/>
      <c r="F81" s="75"/>
      <c r="G81" s="75"/>
      <c r="H81" s="75"/>
      <c r="AC81" s="195"/>
      <c r="AJ81" s="370" t="s">
        <v>213</v>
      </c>
      <c r="AK81" s="121" t="str">
        <f>AJ82</f>
        <v>FMM</v>
      </c>
      <c r="AL81" s="121" t="str">
        <f>AJ83</f>
        <v>RMM</v>
      </c>
      <c r="AM81" s="121" t="str">
        <f>AJ84</f>
        <v>Srm M</v>
      </c>
      <c r="AN81" s="121" t="str">
        <f>AJ85</f>
        <v>RM_1,0</v>
      </c>
      <c r="AO81" s="121" t="str">
        <f>AJ86</f>
        <v>RM_0,35</v>
      </c>
      <c r="AP81" s="121" t="str">
        <f>AJ87</f>
        <v>Srm_0,35</v>
      </c>
      <c r="AQ81" s="121" t="str">
        <f>AJ88</f>
        <v>AMM</v>
      </c>
    </row>
    <row r="82" spans="1:43" ht="17.25" customHeight="1" hidden="1">
      <c r="A82" s="75"/>
      <c r="B82" s="75"/>
      <c r="C82" s="75"/>
      <c r="D82" s="75"/>
      <c r="E82" s="75"/>
      <c r="F82" s="75"/>
      <c r="G82" s="75"/>
      <c r="H82" s="75"/>
      <c r="AC82" s="195"/>
      <c r="AI82" s="75">
        <f>IF($AJ82=$AP$57,1,0)</f>
        <v>1</v>
      </c>
      <c r="AJ82" s="370" t="str">
        <f>AJ55</f>
        <v>FMM</v>
      </c>
      <c r="AK82" s="371" t="e">
        <f aca="true" t="shared" si="17" ref="AK82:AK87">$AO$61*$AI82*AK$89</f>
        <v>#VALUE!</v>
      </c>
      <c r="AL82" s="371" t="e">
        <f aca="true" t="shared" si="18" ref="AL82:AP87">$AO$61*$AI82*AL$89</f>
        <v>#VALUE!</v>
      </c>
      <c r="AM82" s="371" t="e">
        <f t="shared" si="18"/>
        <v>#VALUE!</v>
      </c>
      <c r="AN82" s="371" t="e">
        <f t="shared" si="18"/>
        <v>#VALUE!</v>
      </c>
      <c r="AO82" s="371" t="e">
        <f t="shared" si="18"/>
        <v>#VALUE!</v>
      </c>
      <c r="AP82" s="371" t="e">
        <f>$AO$61*$AI82*AP$89</f>
        <v>#VALUE!</v>
      </c>
      <c r="AQ82" s="372" t="e">
        <f aca="true" t="shared" si="19" ref="AQ82:AQ87">$AP$63*AQ$89*AI82/$AO$60</f>
        <v>#VALUE!</v>
      </c>
    </row>
    <row r="83" spans="1:43" ht="17.25" customHeight="1" hidden="1">
      <c r="A83" s="75"/>
      <c r="B83" s="75"/>
      <c r="C83" s="75"/>
      <c r="D83" s="75"/>
      <c r="E83" s="75"/>
      <c r="F83" s="75"/>
      <c r="G83" s="75"/>
      <c r="H83" s="75"/>
      <c r="AC83" s="195"/>
      <c r="AI83" s="75">
        <f aca="true" t="shared" si="20" ref="AI83:AI88">IF($AJ83=$AP$57,1,0)</f>
        <v>0</v>
      </c>
      <c r="AJ83" s="370" t="str">
        <f>AJ56</f>
        <v>RMM</v>
      </c>
      <c r="AK83" s="371" t="e">
        <f t="shared" si="17"/>
        <v>#VALUE!</v>
      </c>
      <c r="AL83" s="371" t="e">
        <f t="shared" si="18"/>
        <v>#VALUE!</v>
      </c>
      <c r="AM83" s="371" t="e">
        <f>$AO$61*$AI83*AM$89</f>
        <v>#VALUE!</v>
      </c>
      <c r="AN83" s="371" t="e">
        <f>$AO$61*$AI83*AN$89</f>
        <v>#VALUE!</v>
      </c>
      <c r="AO83" s="371" t="e">
        <f t="shared" si="18"/>
        <v>#VALUE!</v>
      </c>
      <c r="AP83" s="371" t="e">
        <f t="shared" si="18"/>
        <v>#VALUE!</v>
      </c>
      <c r="AQ83" s="372" t="e">
        <f t="shared" si="19"/>
        <v>#VALUE!</v>
      </c>
    </row>
    <row r="84" spans="1:43" ht="17.25" customHeight="1" hidden="1">
      <c r="A84" s="75"/>
      <c r="B84" s="75"/>
      <c r="C84" s="75"/>
      <c r="D84" s="75"/>
      <c r="E84" s="75"/>
      <c r="F84" s="75"/>
      <c r="G84" s="75"/>
      <c r="H84" s="75"/>
      <c r="AC84" s="195"/>
      <c r="AI84" s="75">
        <f t="shared" si="20"/>
        <v>0</v>
      </c>
      <c r="AJ84" s="370" t="str">
        <f>AJ57</f>
        <v>Srm M</v>
      </c>
      <c r="AK84" s="371" t="e">
        <f t="shared" si="17"/>
        <v>#VALUE!</v>
      </c>
      <c r="AL84" s="371" t="e">
        <f t="shared" si="18"/>
        <v>#VALUE!</v>
      </c>
      <c r="AM84" s="371" t="e">
        <f t="shared" si="18"/>
        <v>#VALUE!</v>
      </c>
      <c r="AN84" s="371" t="e">
        <f t="shared" si="18"/>
        <v>#VALUE!</v>
      </c>
      <c r="AO84" s="371" t="e">
        <f t="shared" si="18"/>
        <v>#VALUE!</v>
      </c>
      <c r="AP84" s="371" t="e">
        <f t="shared" si="18"/>
        <v>#VALUE!</v>
      </c>
      <c r="AQ84" s="372" t="e">
        <f t="shared" si="19"/>
        <v>#VALUE!</v>
      </c>
    </row>
    <row r="85" spans="1:43" ht="17.25" customHeight="1" hidden="1">
      <c r="A85" s="75"/>
      <c r="B85" s="75"/>
      <c r="C85" s="75"/>
      <c r="D85" s="75"/>
      <c r="E85" s="75"/>
      <c r="F85" s="75"/>
      <c r="G85" s="75"/>
      <c r="H85" s="75"/>
      <c r="AC85" s="195"/>
      <c r="AI85" s="75">
        <f t="shared" si="20"/>
        <v>0</v>
      </c>
      <c r="AJ85" s="370" t="str">
        <f>AJ59</f>
        <v>RM_1,0</v>
      </c>
      <c r="AK85" s="371" t="e">
        <f t="shared" si="17"/>
        <v>#VALUE!</v>
      </c>
      <c r="AL85" s="371" t="e">
        <f t="shared" si="18"/>
        <v>#VALUE!</v>
      </c>
      <c r="AM85" s="371" t="e">
        <f t="shared" si="18"/>
        <v>#VALUE!</v>
      </c>
      <c r="AN85" s="371" t="e">
        <f t="shared" si="18"/>
        <v>#VALUE!</v>
      </c>
      <c r="AO85" s="371" t="e">
        <f t="shared" si="18"/>
        <v>#VALUE!</v>
      </c>
      <c r="AP85" s="371" t="e">
        <f t="shared" si="18"/>
        <v>#VALUE!</v>
      </c>
      <c r="AQ85" s="372" t="e">
        <f t="shared" si="19"/>
        <v>#VALUE!</v>
      </c>
    </row>
    <row r="86" spans="1:43" ht="17.25" customHeight="1" hidden="1">
      <c r="A86" s="75"/>
      <c r="B86" s="75"/>
      <c r="C86" s="75"/>
      <c r="D86" s="75"/>
      <c r="E86" s="75"/>
      <c r="F86" s="75"/>
      <c r="G86" s="75"/>
      <c r="H86" s="75"/>
      <c r="AC86" s="195"/>
      <c r="AI86" s="75">
        <f t="shared" si="20"/>
        <v>0</v>
      </c>
      <c r="AJ86" s="370" t="str">
        <f>AJ60</f>
        <v>RM_0,35</v>
      </c>
      <c r="AK86" s="371" t="e">
        <f t="shared" si="17"/>
        <v>#VALUE!</v>
      </c>
      <c r="AL86" s="371" t="e">
        <f t="shared" si="18"/>
        <v>#VALUE!</v>
      </c>
      <c r="AM86" s="371" t="e">
        <f t="shared" si="18"/>
        <v>#VALUE!</v>
      </c>
      <c r="AN86" s="371" t="e">
        <f t="shared" si="18"/>
        <v>#VALUE!</v>
      </c>
      <c r="AO86" s="371" t="e">
        <f t="shared" si="18"/>
        <v>#VALUE!</v>
      </c>
      <c r="AP86" s="371" t="e">
        <f t="shared" si="18"/>
        <v>#VALUE!</v>
      </c>
      <c r="AQ86" s="372" t="e">
        <f t="shared" si="19"/>
        <v>#VALUE!</v>
      </c>
    </row>
    <row r="87" spans="1:43" ht="17.25" customHeight="1" hidden="1">
      <c r="A87" s="75"/>
      <c r="B87" s="75"/>
      <c r="C87" s="75"/>
      <c r="D87" s="75"/>
      <c r="E87" s="75"/>
      <c r="F87" s="75"/>
      <c r="G87" s="75"/>
      <c r="H87" s="75"/>
      <c r="AC87" s="195"/>
      <c r="AI87" s="75">
        <f t="shared" si="20"/>
        <v>0</v>
      </c>
      <c r="AJ87" s="370" t="str">
        <f>AJ61</f>
        <v>Srm_0,35</v>
      </c>
      <c r="AK87" s="371" t="e">
        <f t="shared" si="17"/>
        <v>#VALUE!</v>
      </c>
      <c r="AL87" s="371" t="e">
        <f t="shared" si="18"/>
        <v>#VALUE!</v>
      </c>
      <c r="AM87" s="371" t="e">
        <f t="shared" si="18"/>
        <v>#VALUE!</v>
      </c>
      <c r="AN87" s="371" t="e">
        <f t="shared" si="18"/>
        <v>#VALUE!</v>
      </c>
      <c r="AO87" s="371" t="e">
        <f t="shared" si="18"/>
        <v>#VALUE!</v>
      </c>
      <c r="AP87" s="371" t="e">
        <f t="shared" si="18"/>
        <v>#VALUE!</v>
      </c>
      <c r="AQ87" s="378" t="e">
        <f t="shared" si="19"/>
        <v>#VALUE!</v>
      </c>
    </row>
    <row r="88" spans="1:43" ht="17.25" customHeight="1" hidden="1" thickBot="1">
      <c r="A88" s="75"/>
      <c r="B88" s="75"/>
      <c r="C88" s="75"/>
      <c r="D88" s="75"/>
      <c r="E88" s="75"/>
      <c r="F88" s="75"/>
      <c r="G88" s="75"/>
      <c r="H88" s="75"/>
      <c r="AC88" s="195"/>
      <c r="AI88" s="75">
        <f t="shared" si="20"/>
        <v>0</v>
      </c>
      <c r="AJ88" s="370" t="str">
        <f>AJ58</f>
        <v>AMM</v>
      </c>
      <c r="AK88" s="371" t="e">
        <f aca="true" t="shared" si="21" ref="AK88:AP88">1/$AP$63*$AI88*AK89*$AO$62</f>
        <v>#VALUE!</v>
      </c>
      <c r="AL88" s="371" t="e">
        <f t="shared" si="21"/>
        <v>#VALUE!</v>
      </c>
      <c r="AM88" s="371" t="e">
        <f t="shared" si="21"/>
        <v>#VALUE!</v>
      </c>
      <c r="AN88" s="371" t="e">
        <f t="shared" si="21"/>
        <v>#VALUE!</v>
      </c>
      <c r="AO88" s="371" t="e">
        <f t="shared" si="21"/>
        <v>#VALUE!</v>
      </c>
      <c r="AP88" s="377" t="e">
        <f t="shared" si="21"/>
        <v>#VALUE!</v>
      </c>
      <c r="AQ88" s="379">
        <f>IF(AI88*AQ89=0,0,1/(AN76*AQ$89*AI88*AL58/AL69))</f>
        <v>0</v>
      </c>
    </row>
    <row r="89" spans="1:43" ht="17.25" customHeight="1" hidden="1">
      <c r="A89" s="75"/>
      <c r="B89" s="75"/>
      <c r="C89" s="75"/>
      <c r="D89" s="75"/>
      <c r="E89" s="75"/>
      <c r="F89" s="75"/>
      <c r="G89" s="75"/>
      <c r="H89" s="75"/>
      <c r="AC89" s="195"/>
      <c r="AK89" s="75">
        <f>IF(AK81=$AM$61,1,0)</f>
        <v>0</v>
      </c>
      <c r="AL89" s="75">
        <f aca="true" t="shared" si="22" ref="AL89:AQ89">IF(AL81=$AM$61,1,0)</f>
        <v>0</v>
      </c>
      <c r="AM89" s="75">
        <f t="shared" si="22"/>
        <v>0</v>
      </c>
      <c r="AN89" s="75">
        <f t="shared" si="22"/>
        <v>0</v>
      </c>
      <c r="AO89" s="75">
        <f t="shared" si="22"/>
        <v>0</v>
      </c>
      <c r="AP89" s="75">
        <f t="shared" si="22"/>
        <v>0</v>
      </c>
      <c r="AQ89" s="75">
        <f t="shared" si="22"/>
        <v>0</v>
      </c>
    </row>
    <row r="90" spans="1:37" ht="17.25" customHeight="1" hidden="1">
      <c r="A90" s="75"/>
      <c r="B90" s="75"/>
      <c r="C90" s="75"/>
      <c r="D90" s="75"/>
      <c r="E90" s="75"/>
      <c r="F90" s="75"/>
      <c r="G90" s="75"/>
      <c r="H90" s="75"/>
      <c r="AC90" s="195"/>
      <c r="AJ90" s="77" t="s">
        <v>62</v>
      </c>
      <c r="AK90" s="373" t="e">
        <f>SUM(AK82:AQ88)</f>
        <v>#VALUE!</v>
      </c>
    </row>
    <row r="91" spans="1:29" ht="17.25" customHeight="1" hidden="1">
      <c r="A91" s="75"/>
      <c r="B91" s="75"/>
      <c r="C91" s="75"/>
      <c r="D91" s="75"/>
      <c r="E91" s="75"/>
      <c r="F91" s="75"/>
      <c r="G91" s="75"/>
      <c r="H91" s="75"/>
      <c r="AC91" s="195"/>
    </row>
    <row r="92" spans="1:29" ht="17.25" customHeight="1" hidden="1">
      <c r="A92" s="75"/>
      <c r="B92" s="75"/>
      <c r="C92" s="75"/>
      <c r="D92" s="75"/>
      <c r="E92" s="75"/>
      <c r="F92" s="75"/>
      <c r="G92" s="75"/>
      <c r="H92" s="75"/>
      <c r="AC92" s="195"/>
    </row>
    <row r="93" spans="1:29" ht="17.25" customHeight="1" hidden="1">
      <c r="A93" s="75"/>
      <c r="B93" s="75"/>
      <c r="C93" s="75"/>
      <c r="D93" s="75"/>
      <c r="E93" s="75"/>
      <c r="F93" s="75"/>
      <c r="G93" s="75"/>
      <c r="H93" s="75"/>
      <c r="AC93" s="195"/>
    </row>
    <row r="94" spans="1:29" ht="17.25" customHeight="1" hidden="1">
      <c r="A94" s="75"/>
      <c r="B94" s="75"/>
      <c r="C94" s="75"/>
      <c r="D94" s="75"/>
      <c r="E94" s="75"/>
      <c r="F94" s="75"/>
      <c r="G94" s="75"/>
      <c r="H94" s="75"/>
      <c r="AC94" s="195"/>
    </row>
    <row r="95" spans="1:29" ht="12.75" hidden="1">
      <c r="A95" s="75"/>
      <c r="B95" s="75"/>
      <c r="C95" s="75"/>
      <c r="D95" s="75"/>
      <c r="E95" s="75"/>
      <c r="F95" s="75"/>
      <c r="G95" s="75"/>
      <c r="H95" s="75"/>
      <c r="AC95" s="195"/>
    </row>
    <row r="96" spans="1:29" ht="12.75" hidden="1">
      <c r="A96" s="75"/>
      <c r="B96" s="75"/>
      <c r="C96" s="75"/>
      <c r="D96" s="75"/>
      <c r="E96" s="75"/>
      <c r="F96" s="75"/>
      <c r="G96" s="75"/>
      <c r="H96" s="75"/>
      <c r="AC96" s="195"/>
    </row>
    <row r="97" spans="29:42" s="75" customFormat="1" ht="12.75" hidden="1">
      <c r="AC97" s="195"/>
      <c r="AP97" s="77"/>
    </row>
    <row r="98" spans="29:42" s="75" customFormat="1" ht="12.75" hidden="1">
      <c r="AC98" s="195"/>
      <c r="AP98" s="77"/>
    </row>
    <row r="99" spans="29:42" s="75" customFormat="1" ht="12.75" hidden="1">
      <c r="AC99" s="195"/>
      <c r="AP99" s="77"/>
    </row>
    <row r="100" spans="29:42" s="75" customFormat="1" ht="53.25" customHeight="1" hidden="1">
      <c r="AC100" s="195"/>
      <c r="AP100" s="77"/>
    </row>
    <row r="101" spans="29:42" s="75" customFormat="1" ht="12.75">
      <c r="AC101" s="195"/>
      <c r="AP101" s="77"/>
    </row>
    <row r="102" spans="29:42" s="75" customFormat="1" ht="12.75">
      <c r="AC102" s="195"/>
      <c r="AP102" s="77"/>
    </row>
    <row r="103" spans="29:42" s="75" customFormat="1" ht="12.75">
      <c r="AC103" s="195"/>
      <c r="AP103" s="77"/>
    </row>
    <row r="104" spans="29:42" s="75" customFormat="1" ht="12.75">
      <c r="AC104" s="195"/>
      <c r="AP104" s="77"/>
    </row>
    <row r="105" spans="29:42" s="75" customFormat="1" ht="12.75">
      <c r="AC105" s="195"/>
      <c r="AP105" s="77"/>
    </row>
    <row r="106" spans="29:42" s="75" customFormat="1" ht="12.75">
      <c r="AC106" s="195"/>
      <c r="AP106" s="77"/>
    </row>
    <row r="107" spans="29:42" s="75" customFormat="1" ht="12.75">
      <c r="AC107" s="195"/>
      <c r="AP107" s="77"/>
    </row>
    <row r="108" spans="29:42" s="75" customFormat="1" ht="12.75">
      <c r="AC108" s="195"/>
      <c r="AP108" s="77"/>
    </row>
    <row r="109" spans="29:42" s="75" customFormat="1" ht="12.75">
      <c r="AC109" s="195"/>
      <c r="AP109" s="77"/>
    </row>
    <row r="110" spans="29:42" s="75" customFormat="1" ht="12.75">
      <c r="AC110" s="195"/>
      <c r="AP110" s="77"/>
    </row>
    <row r="111" spans="29:42" s="75" customFormat="1" ht="12.75">
      <c r="AC111" s="195"/>
      <c r="AP111" s="77"/>
    </row>
    <row r="112" spans="29:42" s="75" customFormat="1" ht="12.75">
      <c r="AC112" s="195"/>
      <c r="AP112" s="77"/>
    </row>
    <row r="113" spans="29:42" s="75" customFormat="1" ht="12.75">
      <c r="AC113" s="195"/>
      <c r="AP113" s="77"/>
    </row>
    <row r="114" spans="29:42" s="75" customFormat="1" ht="12.75">
      <c r="AC114" s="195"/>
      <c r="AP114" s="77"/>
    </row>
    <row r="115" spans="29:42" s="75" customFormat="1" ht="12.75">
      <c r="AC115" s="195"/>
      <c r="AP115" s="77"/>
    </row>
    <row r="116" spans="29:42" s="75" customFormat="1" ht="12.75">
      <c r="AC116" s="195"/>
      <c r="AP116" s="77"/>
    </row>
    <row r="117" spans="29:42" s="75" customFormat="1" ht="12.75">
      <c r="AC117" s="195"/>
      <c r="AP117" s="77"/>
    </row>
    <row r="118" spans="29:42" s="75" customFormat="1" ht="12.75">
      <c r="AC118" s="195"/>
      <c r="AP118" s="77"/>
    </row>
    <row r="119" spans="29:42" s="75" customFormat="1" ht="12.75">
      <c r="AC119" s="195"/>
      <c r="AP119" s="77"/>
    </row>
    <row r="120" spans="29:42" s="75" customFormat="1" ht="12.75">
      <c r="AC120" s="195"/>
      <c r="AP120" s="77"/>
    </row>
    <row r="121" spans="29:42" s="75" customFormat="1" ht="12.75">
      <c r="AC121" s="195"/>
      <c r="AP121" s="77"/>
    </row>
    <row r="122" spans="29:42" s="75" customFormat="1" ht="12.75">
      <c r="AC122" s="195"/>
      <c r="AP122" s="77"/>
    </row>
    <row r="123" spans="29:42" s="75" customFormat="1" ht="12.75">
      <c r="AC123" s="195"/>
      <c r="AP123" s="77"/>
    </row>
    <row r="124" spans="29:42" s="75" customFormat="1" ht="12.75">
      <c r="AC124" s="195"/>
      <c r="AP124" s="77"/>
    </row>
    <row r="125" spans="29:42" s="75" customFormat="1" ht="12.75">
      <c r="AC125" s="195"/>
      <c r="AP125" s="77"/>
    </row>
    <row r="126" spans="29:42" s="75" customFormat="1" ht="12.75">
      <c r="AC126" s="195"/>
      <c r="AP126" s="77"/>
    </row>
    <row r="127" spans="29:42" s="75" customFormat="1" ht="12.75">
      <c r="AC127" s="195"/>
      <c r="AP127" s="77"/>
    </row>
    <row r="128" spans="29:42" s="75" customFormat="1" ht="12.75">
      <c r="AC128" s="195"/>
      <c r="AP128" s="77"/>
    </row>
    <row r="129" spans="29:42" s="75" customFormat="1" ht="12.75">
      <c r="AC129" s="195"/>
      <c r="AP129" s="77"/>
    </row>
    <row r="130" spans="29:42" s="75" customFormat="1" ht="12.75">
      <c r="AC130" s="195"/>
      <c r="AP130" s="77"/>
    </row>
    <row r="131" spans="29:42" s="75" customFormat="1" ht="12.75">
      <c r="AC131" s="195"/>
      <c r="AP131" s="77"/>
    </row>
    <row r="132" spans="29:42" s="75" customFormat="1" ht="12.75">
      <c r="AC132" s="195"/>
      <c r="AP132" s="77"/>
    </row>
    <row r="133" spans="29:42" s="75" customFormat="1" ht="12.75">
      <c r="AC133" s="195"/>
      <c r="AP133" s="77"/>
    </row>
    <row r="134" spans="29:42" s="75" customFormat="1" ht="12.75">
      <c r="AC134" s="195"/>
      <c r="AP134" s="77"/>
    </row>
    <row r="135" spans="29:42" s="75" customFormat="1" ht="12.75">
      <c r="AC135" s="195"/>
      <c r="AP135" s="77"/>
    </row>
    <row r="136" spans="29:42" s="75" customFormat="1" ht="12.75">
      <c r="AC136" s="195"/>
      <c r="AP136" s="77"/>
    </row>
    <row r="137" spans="29:42" s="75" customFormat="1" ht="12.75">
      <c r="AC137" s="195"/>
      <c r="AP137" s="77"/>
    </row>
    <row r="138" spans="29:42" s="75" customFormat="1" ht="12.75">
      <c r="AC138" s="195"/>
      <c r="AP138" s="77"/>
    </row>
    <row r="139" spans="29:42" s="75" customFormat="1" ht="12.75">
      <c r="AC139" s="195"/>
      <c r="AP139" s="77"/>
    </row>
    <row r="140" spans="29:42" s="75" customFormat="1" ht="12.75">
      <c r="AC140" s="195"/>
      <c r="AP140" s="77"/>
    </row>
    <row r="141" spans="29:42" s="75" customFormat="1" ht="12.75">
      <c r="AC141" s="195"/>
      <c r="AP141" s="77"/>
    </row>
    <row r="142" spans="29:42" s="75" customFormat="1" ht="12.75">
      <c r="AC142" s="195"/>
      <c r="AP142" s="77"/>
    </row>
    <row r="143" spans="29:42" s="75" customFormat="1" ht="12.75">
      <c r="AC143" s="195"/>
      <c r="AP143" s="77"/>
    </row>
    <row r="144" spans="29:42" s="75" customFormat="1" ht="12.75">
      <c r="AC144" s="195"/>
      <c r="AP144" s="77"/>
    </row>
    <row r="145" spans="29:42" s="75" customFormat="1" ht="12.75">
      <c r="AC145" s="195"/>
      <c r="AP145" s="77"/>
    </row>
    <row r="146" spans="29:42" s="75" customFormat="1" ht="12.75">
      <c r="AC146" s="195"/>
      <c r="AP146" s="77"/>
    </row>
    <row r="147" spans="29:42" s="75" customFormat="1" ht="12.75">
      <c r="AC147" s="195"/>
      <c r="AP147" s="77"/>
    </row>
    <row r="148" spans="29:42" s="75" customFormat="1" ht="12.75">
      <c r="AC148" s="195"/>
      <c r="AP148" s="77"/>
    </row>
    <row r="149" spans="29:42" s="75" customFormat="1" ht="12.75">
      <c r="AC149" s="195"/>
      <c r="AP149" s="77"/>
    </row>
    <row r="150" spans="29:42" s="75" customFormat="1" ht="12.75">
      <c r="AC150" s="195"/>
      <c r="AP150" s="77"/>
    </row>
    <row r="151" spans="29:42" s="75" customFormat="1" ht="12.75">
      <c r="AC151" s="195"/>
      <c r="AP151" s="77"/>
    </row>
    <row r="152" spans="29:42" s="75" customFormat="1" ht="12.75">
      <c r="AC152" s="195"/>
      <c r="AP152" s="77"/>
    </row>
    <row r="153" spans="29:42" s="75" customFormat="1" ht="12.75">
      <c r="AC153" s="195"/>
      <c r="AP153" s="77"/>
    </row>
    <row r="154" spans="29:42" s="75" customFormat="1" ht="12.75">
      <c r="AC154" s="195"/>
      <c r="AP154" s="77"/>
    </row>
    <row r="155" spans="29:42" s="75" customFormat="1" ht="12.75">
      <c r="AC155" s="195"/>
      <c r="AP155" s="77"/>
    </row>
    <row r="156" spans="29:42" s="75" customFormat="1" ht="12.75">
      <c r="AC156" s="195"/>
      <c r="AP156" s="77"/>
    </row>
    <row r="157" spans="29:42" s="75" customFormat="1" ht="12.75">
      <c r="AC157" s="195"/>
      <c r="AP157" s="77"/>
    </row>
    <row r="158" spans="29:42" s="75" customFormat="1" ht="12.75">
      <c r="AC158" s="195"/>
      <c r="AP158" s="77"/>
    </row>
    <row r="159" spans="29:42" s="75" customFormat="1" ht="12.75">
      <c r="AC159" s="195"/>
      <c r="AP159" s="77"/>
    </row>
    <row r="160" spans="29:42" s="75" customFormat="1" ht="12.75">
      <c r="AC160" s="195"/>
      <c r="AP160" s="77"/>
    </row>
    <row r="161" spans="29:42" s="75" customFormat="1" ht="12.75">
      <c r="AC161" s="195"/>
      <c r="AP161" s="77"/>
    </row>
    <row r="162" spans="29:42" s="75" customFormat="1" ht="12.75">
      <c r="AC162" s="195"/>
      <c r="AP162" s="77"/>
    </row>
    <row r="163" spans="29:42" s="75" customFormat="1" ht="12.75">
      <c r="AC163" s="195"/>
      <c r="AP163" s="77"/>
    </row>
    <row r="164" spans="29:42" s="75" customFormat="1" ht="12.75">
      <c r="AC164" s="195"/>
      <c r="AP164" s="77"/>
    </row>
    <row r="165" spans="29:42" s="75" customFormat="1" ht="12.75">
      <c r="AC165" s="195"/>
      <c r="AP165" s="77"/>
    </row>
    <row r="166" spans="29:42" s="75" customFormat="1" ht="12.75">
      <c r="AC166" s="195"/>
      <c r="AP166" s="77"/>
    </row>
    <row r="167" spans="29:42" s="75" customFormat="1" ht="12.75">
      <c r="AC167" s="195"/>
      <c r="AP167" s="77"/>
    </row>
    <row r="168" spans="29:42" s="75" customFormat="1" ht="12.75">
      <c r="AC168" s="195"/>
      <c r="AP168" s="77"/>
    </row>
    <row r="169" spans="29:42" s="75" customFormat="1" ht="12.75">
      <c r="AC169" s="195"/>
      <c r="AP169" s="77"/>
    </row>
    <row r="170" spans="29:42" s="75" customFormat="1" ht="12.75">
      <c r="AC170" s="195"/>
      <c r="AP170" s="77"/>
    </row>
    <row r="171" spans="29:42" s="75" customFormat="1" ht="12.75">
      <c r="AC171" s="195"/>
      <c r="AP171" s="77"/>
    </row>
    <row r="172" spans="29:42" s="75" customFormat="1" ht="12.75">
      <c r="AC172" s="195"/>
      <c r="AP172" s="77"/>
    </row>
    <row r="173" spans="29:42" s="75" customFormat="1" ht="12.75">
      <c r="AC173" s="195"/>
      <c r="AP173" s="77"/>
    </row>
    <row r="174" spans="29:42" s="75" customFormat="1" ht="12.75">
      <c r="AC174" s="195"/>
      <c r="AP174" s="77"/>
    </row>
    <row r="175" spans="29:42" s="75" customFormat="1" ht="12.75">
      <c r="AC175" s="195"/>
      <c r="AP175" s="77"/>
    </row>
    <row r="176" spans="29:42" s="75" customFormat="1" ht="12.75">
      <c r="AC176" s="195"/>
      <c r="AP176" s="77"/>
    </row>
    <row r="177" spans="29:42" s="75" customFormat="1" ht="12.75">
      <c r="AC177" s="195"/>
      <c r="AP177" s="77"/>
    </row>
    <row r="178" spans="29:42" s="75" customFormat="1" ht="12.75">
      <c r="AC178" s="195"/>
      <c r="AP178" s="77"/>
    </row>
    <row r="179" spans="29:42" s="75" customFormat="1" ht="12.75">
      <c r="AC179" s="195"/>
      <c r="AP179" s="77"/>
    </row>
    <row r="180" spans="29:42" s="75" customFormat="1" ht="12.75">
      <c r="AC180" s="195"/>
      <c r="AP180" s="77"/>
    </row>
    <row r="181" spans="29:42" s="75" customFormat="1" ht="12.75">
      <c r="AC181" s="195"/>
      <c r="AP181" s="77"/>
    </row>
    <row r="182" spans="29:42" s="75" customFormat="1" ht="12.75">
      <c r="AC182" s="195"/>
      <c r="AP182" s="77"/>
    </row>
    <row r="183" spans="29:42" s="75" customFormat="1" ht="12.75">
      <c r="AC183" s="195"/>
      <c r="AP183" s="77"/>
    </row>
    <row r="184" spans="29:42" s="75" customFormat="1" ht="12.75">
      <c r="AC184" s="195"/>
      <c r="AP184" s="77"/>
    </row>
    <row r="185" spans="29:42" s="75" customFormat="1" ht="12.75">
      <c r="AC185" s="195"/>
      <c r="AP185" s="77"/>
    </row>
    <row r="186" spans="29:42" s="75" customFormat="1" ht="12.75">
      <c r="AC186" s="195"/>
      <c r="AP186" s="77"/>
    </row>
    <row r="187" spans="29:42" s="75" customFormat="1" ht="12.75">
      <c r="AC187" s="195"/>
      <c r="AP187" s="77"/>
    </row>
    <row r="188" spans="29:42" s="75" customFormat="1" ht="12.75">
      <c r="AC188" s="195"/>
      <c r="AP188" s="77"/>
    </row>
    <row r="189" spans="29:42" s="75" customFormat="1" ht="12.75">
      <c r="AC189" s="195"/>
      <c r="AP189" s="77"/>
    </row>
    <row r="190" spans="29:42" s="75" customFormat="1" ht="12.75">
      <c r="AC190" s="195"/>
      <c r="AP190" s="77"/>
    </row>
    <row r="191" spans="29:42" s="75" customFormat="1" ht="12.75">
      <c r="AC191" s="195"/>
      <c r="AP191" s="77"/>
    </row>
    <row r="192" spans="29:42" s="75" customFormat="1" ht="12.75">
      <c r="AC192" s="195"/>
      <c r="AP192" s="77"/>
    </row>
    <row r="193" spans="29:42" s="75" customFormat="1" ht="12.75">
      <c r="AC193" s="195"/>
      <c r="AP193" s="77"/>
    </row>
    <row r="194" spans="29:42" s="75" customFormat="1" ht="12.75">
      <c r="AC194" s="195"/>
      <c r="AP194" s="77"/>
    </row>
    <row r="195" spans="29:42" s="75" customFormat="1" ht="12.75">
      <c r="AC195" s="195"/>
      <c r="AP195" s="77"/>
    </row>
    <row r="196" spans="29:42" s="75" customFormat="1" ht="12.75">
      <c r="AC196" s="195"/>
      <c r="AP196" s="77"/>
    </row>
    <row r="197" spans="29:42" s="75" customFormat="1" ht="12.75">
      <c r="AC197" s="195"/>
      <c r="AP197" s="77"/>
    </row>
    <row r="198" spans="29:42" s="75" customFormat="1" ht="12.75">
      <c r="AC198" s="195"/>
      <c r="AP198" s="77"/>
    </row>
    <row r="199" spans="29:42" s="75" customFormat="1" ht="12.75">
      <c r="AC199" s="195"/>
      <c r="AP199" s="77"/>
    </row>
    <row r="200" spans="29:42" s="75" customFormat="1" ht="12.75">
      <c r="AC200" s="195"/>
      <c r="AP200" s="77"/>
    </row>
    <row r="201" spans="29:42" s="75" customFormat="1" ht="12.75">
      <c r="AC201" s="195"/>
      <c r="AP201" s="77"/>
    </row>
    <row r="202" spans="29:42" s="75" customFormat="1" ht="12.75">
      <c r="AC202" s="195"/>
      <c r="AP202" s="77"/>
    </row>
    <row r="203" spans="29:42" s="75" customFormat="1" ht="12.75">
      <c r="AC203" s="195"/>
      <c r="AP203" s="77"/>
    </row>
    <row r="204" spans="29:42" s="75" customFormat="1" ht="12.75">
      <c r="AC204" s="195"/>
      <c r="AP204" s="77"/>
    </row>
    <row r="205" spans="29:42" s="75" customFormat="1" ht="12.75">
      <c r="AC205" s="195"/>
      <c r="AP205" s="77"/>
    </row>
    <row r="206" spans="29:42" s="75" customFormat="1" ht="12.75">
      <c r="AC206" s="195"/>
      <c r="AP206" s="77"/>
    </row>
    <row r="207" spans="29:42" s="75" customFormat="1" ht="12.75">
      <c r="AC207" s="195"/>
      <c r="AP207" s="77"/>
    </row>
    <row r="208" spans="29:42" s="75" customFormat="1" ht="12.75">
      <c r="AC208" s="195"/>
      <c r="AP208" s="77"/>
    </row>
    <row r="209" spans="29:42" s="75" customFormat="1" ht="12.75">
      <c r="AC209" s="195"/>
      <c r="AP209" s="77"/>
    </row>
    <row r="210" spans="29:42" s="75" customFormat="1" ht="12.75">
      <c r="AC210" s="195"/>
      <c r="AP210" s="77"/>
    </row>
    <row r="211" spans="29:42" s="75" customFormat="1" ht="12.75">
      <c r="AC211" s="195"/>
      <c r="AP211" s="77"/>
    </row>
    <row r="212" spans="29:42" s="75" customFormat="1" ht="12.75">
      <c r="AC212" s="195"/>
      <c r="AP212" s="77"/>
    </row>
    <row r="213" spans="29:42" s="75" customFormat="1" ht="12.75">
      <c r="AC213" s="195"/>
      <c r="AP213" s="77"/>
    </row>
    <row r="214" spans="29:42" s="75" customFormat="1" ht="12.75">
      <c r="AC214" s="195"/>
      <c r="AP214" s="77"/>
    </row>
    <row r="215" spans="29:42" s="75" customFormat="1" ht="12.75">
      <c r="AC215" s="195"/>
      <c r="AP215" s="77"/>
    </row>
    <row r="216" spans="29:42" s="75" customFormat="1" ht="12.75">
      <c r="AC216" s="195"/>
      <c r="AP216" s="77"/>
    </row>
    <row r="217" spans="29:42" s="75" customFormat="1" ht="12.75">
      <c r="AC217" s="195"/>
      <c r="AP217" s="77"/>
    </row>
    <row r="218" spans="29:42" s="75" customFormat="1" ht="12.75">
      <c r="AC218" s="195"/>
      <c r="AP218" s="77"/>
    </row>
    <row r="219" spans="29:42" s="75" customFormat="1" ht="12.75">
      <c r="AC219" s="195"/>
      <c r="AP219" s="77"/>
    </row>
    <row r="220" spans="29:42" s="75" customFormat="1" ht="12.75">
      <c r="AC220" s="195"/>
      <c r="AP220" s="77"/>
    </row>
    <row r="221" spans="29:42" s="75" customFormat="1" ht="12.75">
      <c r="AC221" s="195"/>
      <c r="AP221" s="77"/>
    </row>
    <row r="222" spans="29:42" s="75" customFormat="1" ht="12.75">
      <c r="AC222" s="195"/>
      <c r="AP222" s="77"/>
    </row>
    <row r="223" spans="29:42" s="75" customFormat="1" ht="12.75">
      <c r="AC223" s="195"/>
      <c r="AP223" s="77"/>
    </row>
    <row r="224" spans="29:42" s="75" customFormat="1" ht="12.75">
      <c r="AC224" s="195"/>
      <c r="AP224" s="77"/>
    </row>
    <row r="225" spans="29:42" s="75" customFormat="1" ht="12.75">
      <c r="AC225" s="195"/>
      <c r="AP225" s="77"/>
    </row>
    <row r="226" spans="29:42" s="75" customFormat="1" ht="12.75">
      <c r="AC226" s="195"/>
      <c r="AP226" s="77"/>
    </row>
    <row r="227" spans="29:42" s="75" customFormat="1" ht="12.75">
      <c r="AC227" s="195"/>
      <c r="AP227" s="77"/>
    </row>
    <row r="228" spans="29:42" s="75" customFormat="1" ht="12.75">
      <c r="AC228" s="195"/>
      <c r="AP228" s="77"/>
    </row>
    <row r="229" spans="29:42" s="75" customFormat="1" ht="12.75">
      <c r="AC229" s="195"/>
      <c r="AP229" s="77"/>
    </row>
    <row r="230" spans="29:42" s="75" customFormat="1" ht="12.75">
      <c r="AC230" s="195"/>
      <c r="AP230" s="77"/>
    </row>
    <row r="231" spans="29:42" s="75" customFormat="1" ht="12.75">
      <c r="AC231" s="195"/>
      <c r="AP231" s="77"/>
    </row>
    <row r="232" spans="29:42" s="75" customFormat="1" ht="12.75">
      <c r="AC232" s="195"/>
      <c r="AP232" s="77"/>
    </row>
    <row r="233" spans="29:42" s="75" customFormat="1" ht="12.75">
      <c r="AC233" s="195"/>
      <c r="AP233" s="77"/>
    </row>
    <row r="234" spans="29:42" s="75" customFormat="1" ht="12.75">
      <c r="AC234" s="195"/>
      <c r="AP234" s="77"/>
    </row>
    <row r="235" spans="29:42" s="75" customFormat="1" ht="12.75">
      <c r="AC235" s="195"/>
      <c r="AP235" s="77"/>
    </row>
    <row r="236" spans="29:42" s="75" customFormat="1" ht="12.75">
      <c r="AC236" s="195"/>
      <c r="AP236" s="77"/>
    </row>
    <row r="237" spans="29:42" s="75" customFormat="1" ht="12.75">
      <c r="AC237" s="195"/>
      <c r="AP237" s="77"/>
    </row>
    <row r="238" spans="29:42" s="75" customFormat="1" ht="12.75">
      <c r="AC238" s="195"/>
      <c r="AP238" s="77"/>
    </row>
    <row r="239" spans="29:42" s="75" customFormat="1" ht="12.75">
      <c r="AC239" s="195"/>
      <c r="AP239" s="77"/>
    </row>
    <row r="240" spans="29:42" s="75" customFormat="1" ht="12.75">
      <c r="AC240" s="195"/>
      <c r="AP240" s="77"/>
    </row>
    <row r="241" spans="29:42" s="75" customFormat="1" ht="12.75">
      <c r="AC241" s="195"/>
      <c r="AP241" s="77"/>
    </row>
    <row r="242" spans="29:42" s="75" customFormat="1" ht="12.75">
      <c r="AC242" s="195"/>
      <c r="AP242" s="77"/>
    </row>
    <row r="243" spans="29:42" s="75" customFormat="1" ht="12.75">
      <c r="AC243" s="195"/>
      <c r="AP243" s="77"/>
    </row>
    <row r="244" spans="29:42" s="75" customFormat="1" ht="12.75">
      <c r="AC244" s="195"/>
      <c r="AP244" s="77"/>
    </row>
    <row r="245" spans="29:42" s="75" customFormat="1" ht="12.75">
      <c r="AC245" s="195"/>
      <c r="AP245" s="77"/>
    </row>
    <row r="246" spans="29:42" s="75" customFormat="1" ht="12.75">
      <c r="AC246" s="195"/>
      <c r="AP246" s="77"/>
    </row>
    <row r="247" spans="29:42" s="75" customFormat="1" ht="12.75">
      <c r="AC247" s="195"/>
      <c r="AP247" s="77"/>
    </row>
    <row r="248" spans="29:42" s="75" customFormat="1" ht="12.75">
      <c r="AC248" s="195"/>
      <c r="AP248" s="77"/>
    </row>
    <row r="249" spans="29:42" s="75" customFormat="1" ht="12.75">
      <c r="AC249" s="195"/>
      <c r="AP249" s="77"/>
    </row>
    <row r="250" spans="29:42" s="75" customFormat="1" ht="12.75">
      <c r="AC250" s="195"/>
      <c r="AP250" s="77"/>
    </row>
    <row r="251" spans="29:42" s="75" customFormat="1" ht="12.75">
      <c r="AC251" s="195"/>
      <c r="AP251" s="77"/>
    </row>
    <row r="252" spans="29:42" s="75" customFormat="1" ht="12.75">
      <c r="AC252" s="195"/>
      <c r="AP252" s="77"/>
    </row>
    <row r="253" spans="29:42" s="75" customFormat="1" ht="12.75">
      <c r="AC253" s="195"/>
      <c r="AP253" s="77"/>
    </row>
    <row r="254" spans="29:42" s="75" customFormat="1" ht="12.75">
      <c r="AC254" s="195"/>
      <c r="AP254" s="77"/>
    </row>
    <row r="255" spans="29:42" s="75" customFormat="1" ht="12.75">
      <c r="AC255" s="195"/>
      <c r="AP255" s="77"/>
    </row>
    <row r="256" spans="29:42" s="75" customFormat="1" ht="12.75">
      <c r="AC256" s="195"/>
      <c r="AP256" s="77"/>
    </row>
    <row r="257" spans="29:42" s="75" customFormat="1" ht="12.75">
      <c r="AC257" s="195"/>
      <c r="AP257" s="77"/>
    </row>
    <row r="258" spans="29:42" s="75" customFormat="1" ht="12.75">
      <c r="AC258" s="195"/>
      <c r="AP258" s="77"/>
    </row>
    <row r="259" spans="29:42" s="75" customFormat="1" ht="12.75">
      <c r="AC259" s="195"/>
      <c r="AP259" s="77"/>
    </row>
    <row r="260" spans="29:42" s="75" customFormat="1" ht="12.75">
      <c r="AC260" s="195"/>
      <c r="AP260" s="77"/>
    </row>
    <row r="261" spans="29:42" s="75" customFormat="1" ht="12.75">
      <c r="AC261" s="195"/>
      <c r="AP261" s="77"/>
    </row>
    <row r="262" spans="29:42" s="75" customFormat="1" ht="12.75">
      <c r="AC262" s="195"/>
      <c r="AP262" s="77"/>
    </row>
    <row r="263" spans="29:42" s="75" customFormat="1" ht="12.75">
      <c r="AC263" s="195"/>
      <c r="AP263" s="77"/>
    </row>
    <row r="264" spans="29:42" s="75" customFormat="1" ht="12.75">
      <c r="AC264" s="195"/>
      <c r="AP264" s="77"/>
    </row>
    <row r="265" spans="29:42" s="75" customFormat="1" ht="12.75">
      <c r="AC265" s="195"/>
      <c r="AP265" s="77"/>
    </row>
    <row r="266" spans="29:42" s="75" customFormat="1" ht="12.75">
      <c r="AC266" s="195"/>
      <c r="AP266" s="77"/>
    </row>
    <row r="267" spans="29:42" s="75" customFormat="1" ht="12.75">
      <c r="AC267" s="195"/>
      <c r="AP267" s="77"/>
    </row>
    <row r="268" spans="29:42" s="75" customFormat="1" ht="12.75">
      <c r="AC268" s="195"/>
      <c r="AP268" s="77"/>
    </row>
    <row r="269" spans="29:42" s="75" customFormat="1" ht="12.75">
      <c r="AC269" s="195"/>
      <c r="AP269" s="77"/>
    </row>
    <row r="270" spans="29:42" s="75" customFormat="1" ht="12.75">
      <c r="AC270" s="195"/>
      <c r="AP270" s="77"/>
    </row>
    <row r="271" spans="29:42" s="75" customFormat="1" ht="12.75">
      <c r="AC271" s="195"/>
      <c r="AP271" s="77"/>
    </row>
    <row r="272" spans="29:42" s="75" customFormat="1" ht="12.75">
      <c r="AC272" s="195"/>
      <c r="AP272" s="77"/>
    </row>
    <row r="273" spans="29:42" s="75" customFormat="1" ht="12.75">
      <c r="AC273" s="195"/>
      <c r="AP273" s="77"/>
    </row>
    <row r="274" spans="29:42" s="75" customFormat="1" ht="12.75">
      <c r="AC274" s="195"/>
      <c r="AP274" s="77"/>
    </row>
    <row r="275" spans="29:42" s="75" customFormat="1" ht="12.75">
      <c r="AC275" s="195"/>
      <c r="AP275" s="77"/>
    </row>
    <row r="276" spans="29:42" s="75" customFormat="1" ht="12.75">
      <c r="AC276" s="195"/>
      <c r="AP276" s="77"/>
    </row>
    <row r="277" spans="29:42" s="75" customFormat="1" ht="12.75">
      <c r="AC277" s="195"/>
      <c r="AP277" s="77"/>
    </row>
    <row r="278" spans="29:42" s="75" customFormat="1" ht="12.75">
      <c r="AC278" s="195"/>
      <c r="AP278" s="77"/>
    </row>
    <row r="279" spans="29:42" s="75" customFormat="1" ht="12.75">
      <c r="AC279" s="195"/>
      <c r="AP279" s="77"/>
    </row>
    <row r="280" spans="29:42" s="75" customFormat="1" ht="12.75">
      <c r="AC280" s="195"/>
      <c r="AP280" s="77"/>
    </row>
    <row r="281" spans="29:42" s="75" customFormat="1" ht="12.75">
      <c r="AC281" s="195"/>
      <c r="AP281" s="77"/>
    </row>
    <row r="282" spans="29:42" s="75" customFormat="1" ht="12.75">
      <c r="AC282" s="195"/>
      <c r="AP282" s="77"/>
    </row>
    <row r="283" spans="29:42" s="75" customFormat="1" ht="12.75">
      <c r="AC283" s="195"/>
      <c r="AP283" s="77"/>
    </row>
    <row r="284" spans="29:42" s="75" customFormat="1" ht="12.75">
      <c r="AC284" s="195"/>
      <c r="AP284" s="77"/>
    </row>
    <row r="285" spans="29:42" s="75" customFormat="1" ht="12.75">
      <c r="AC285" s="195"/>
      <c r="AP285" s="77"/>
    </row>
    <row r="286" spans="29:42" s="75" customFormat="1" ht="12.75">
      <c r="AC286" s="195"/>
      <c r="AP286" s="77"/>
    </row>
    <row r="287" spans="29:42" s="75" customFormat="1" ht="12.75">
      <c r="AC287" s="195"/>
      <c r="AP287" s="77"/>
    </row>
    <row r="288" spans="29:42" s="75" customFormat="1" ht="12.75">
      <c r="AC288" s="195"/>
      <c r="AP288" s="77"/>
    </row>
    <row r="289" spans="29:42" s="75" customFormat="1" ht="12.75">
      <c r="AC289" s="195"/>
      <c r="AP289" s="77"/>
    </row>
    <row r="290" spans="29:42" s="75" customFormat="1" ht="12.75">
      <c r="AC290" s="195"/>
      <c r="AP290" s="77"/>
    </row>
    <row r="291" spans="29:42" s="75" customFormat="1" ht="12.75">
      <c r="AC291" s="195"/>
      <c r="AP291" s="77"/>
    </row>
    <row r="292" spans="29:42" s="75" customFormat="1" ht="12.75">
      <c r="AC292" s="195"/>
      <c r="AP292" s="77"/>
    </row>
    <row r="293" spans="29:42" s="75" customFormat="1" ht="12.75">
      <c r="AC293" s="195"/>
      <c r="AP293" s="77"/>
    </row>
    <row r="294" spans="29:42" s="75" customFormat="1" ht="12.75">
      <c r="AC294" s="195"/>
      <c r="AP294" s="77"/>
    </row>
    <row r="295" spans="29:42" s="75" customFormat="1" ht="12.75">
      <c r="AC295" s="195"/>
      <c r="AP295" s="77"/>
    </row>
    <row r="296" spans="29:42" s="75" customFormat="1" ht="12.75">
      <c r="AC296" s="195"/>
      <c r="AP296" s="77"/>
    </row>
    <row r="297" spans="29:42" s="75" customFormat="1" ht="12.75">
      <c r="AC297" s="195"/>
      <c r="AP297" s="77"/>
    </row>
    <row r="298" spans="29:42" s="75" customFormat="1" ht="12.75">
      <c r="AC298" s="195"/>
      <c r="AP298" s="77"/>
    </row>
    <row r="299" spans="29:42" s="75" customFormat="1" ht="12.75">
      <c r="AC299" s="195"/>
      <c r="AP299" s="77"/>
    </row>
    <row r="300" spans="29:42" s="75" customFormat="1" ht="12.75">
      <c r="AC300" s="195"/>
      <c r="AP300" s="77"/>
    </row>
    <row r="301" spans="29:42" s="75" customFormat="1" ht="12.75">
      <c r="AC301" s="195"/>
      <c r="AP301" s="77"/>
    </row>
    <row r="302" spans="29:42" s="75" customFormat="1" ht="12.75">
      <c r="AC302" s="195"/>
      <c r="AP302" s="77"/>
    </row>
    <row r="303" spans="29:42" s="75" customFormat="1" ht="12.75">
      <c r="AC303" s="195"/>
      <c r="AP303" s="77"/>
    </row>
    <row r="304" spans="29:42" s="75" customFormat="1" ht="12.75">
      <c r="AC304" s="195"/>
      <c r="AP304" s="77"/>
    </row>
    <row r="305" spans="29:42" s="75" customFormat="1" ht="12.75">
      <c r="AC305" s="195"/>
      <c r="AP305" s="77"/>
    </row>
    <row r="306" spans="29:42" s="75" customFormat="1" ht="12.75">
      <c r="AC306" s="195"/>
      <c r="AP306" s="77"/>
    </row>
    <row r="307" spans="29:42" s="75" customFormat="1" ht="12.75">
      <c r="AC307" s="195"/>
      <c r="AP307" s="77"/>
    </row>
    <row r="308" spans="29:42" s="75" customFormat="1" ht="12.75">
      <c r="AC308" s="195"/>
      <c r="AP308" s="77"/>
    </row>
    <row r="309" spans="29:42" s="75" customFormat="1" ht="12.75">
      <c r="AC309" s="195"/>
      <c r="AP309" s="77"/>
    </row>
    <row r="310" spans="29:42" s="75" customFormat="1" ht="12.75">
      <c r="AC310" s="195"/>
      <c r="AP310" s="77"/>
    </row>
    <row r="311" spans="29:42" s="75" customFormat="1" ht="12.75">
      <c r="AC311" s="195"/>
      <c r="AP311" s="77"/>
    </row>
    <row r="312" spans="29:42" s="75" customFormat="1" ht="12.75">
      <c r="AC312" s="195"/>
      <c r="AP312" s="77"/>
    </row>
    <row r="313" spans="29:42" s="75" customFormat="1" ht="12.75">
      <c r="AC313" s="195"/>
      <c r="AP313" s="77"/>
    </row>
    <row r="314" spans="29:42" s="75" customFormat="1" ht="12.75">
      <c r="AC314" s="195"/>
      <c r="AP314" s="77"/>
    </row>
    <row r="315" spans="29:42" s="75" customFormat="1" ht="12.75">
      <c r="AC315" s="195"/>
      <c r="AP315" s="77"/>
    </row>
    <row r="316" spans="29:42" s="75" customFormat="1" ht="12.75">
      <c r="AC316" s="195"/>
      <c r="AP316" s="77"/>
    </row>
    <row r="317" spans="29:42" s="75" customFormat="1" ht="12.75">
      <c r="AC317" s="195"/>
      <c r="AP317" s="77"/>
    </row>
    <row r="318" spans="29:42" s="75" customFormat="1" ht="12.75">
      <c r="AC318" s="195"/>
      <c r="AP318" s="77"/>
    </row>
    <row r="319" spans="29:42" s="75" customFormat="1" ht="12.75">
      <c r="AC319" s="195"/>
      <c r="AP319" s="77"/>
    </row>
    <row r="320" spans="29:42" s="75" customFormat="1" ht="12.75">
      <c r="AC320" s="195"/>
      <c r="AP320" s="77"/>
    </row>
    <row r="321" spans="29:42" s="75" customFormat="1" ht="12.75">
      <c r="AC321" s="195"/>
      <c r="AP321" s="77"/>
    </row>
    <row r="322" spans="29:42" s="75" customFormat="1" ht="12.75">
      <c r="AC322" s="195"/>
      <c r="AP322" s="77"/>
    </row>
    <row r="323" spans="29:42" s="75" customFormat="1" ht="12.75">
      <c r="AC323" s="195"/>
      <c r="AP323" s="77"/>
    </row>
    <row r="324" spans="29:42" s="75" customFormat="1" ht="12.75">
      <c r="AC324" s="195"/>
      <c r="AP324" s="77"/>
    </row>
    <row r="325" spans="29:42" s="75" customFormat="1" ht="12.75">
      <c r="AC325" s="195"/>
      <c r="AP325" s="77"/>
    </row>
    <row r="326" spans="29:42" s="75" customFormat="1" ht="12.75">
      <c r="AC326" s="195"/>
      <c r="AP326" s="77"/>
    </row>
    <row r="327" spans="29:42" s="75" customFormat="1" ht="12.75">
      <c r="AC327" s="195"/>
      <c r="AP327" s="77"/>
    </row>
    <row r="328" spans="29:42" s="75" customFormat="1" ht="12.75">
      <c r="AC328" s="195"/>
      <c r="AP328" s="77"/>
    </row>
    <row r="329" spans="29:42" s="75" customFormat="1" ht="12.75">
      <c r="AC329" s="195"/>
      <c r="AP329" s="77"/>
    </row>
    <row r="330" spans="29:42" s="75" customFormat="1" ht="12.75">
      <c r="AC330" s="195"/>
      <c r="AP330" s="77"/>
    </row>
    <row r="331" spans="29:42" s="75" customFormat="1" ht="12.75">
      <c r="AC331" s="195"/>
      <c r="AP331" s="77"/>
    </row>
    <row r="332" spans="29:42" s="75" customFormat="1" ht="12.75">
      <c r="AC332" s="195"/>
      <c r="AP332" s="77"/>
    </row>
    <row r="333" spans="29:42" s="75" customFormat="1" ht="12.75">
      <c r="AC333" s="195"/>
      <c r="AP333" s="77"/>
    </row>
    <row r="334" spans="29:42" s="75" customFormat="1" ht="12.75">
      <c r="AC334" s="195"/>
      <c r="AP334" s="77"/>
    </row>
    <row r="335" spans="29:42" s="75" customFormat="1" ht="12.75">
      <c r="AC335" s="195"/>
      <c r="AP335" s="77"/>
    </row>
    <row r="336" spans="29:42" s="75" customFormat="1" ht="12.75">
      <c r="AC336" s="195"/>
      <c r="AP336" s="77"/>
    </row>
    <row r="337" spans="29:42" s="75" customFormat="1" ht="12.75">
      <c r="AC337" s="195"/>
      <c r="AP337" s="77"/>
    </row>
    <row r="338" spans="29:42" s="75" customFormat="1" ht="12.75">
      <c r="AC338" s="195"/>
      <c r="AP338" s="77"/>
    </row>
    <row r="339" spans="29:42" s="75" customFormat="1" ht="12.75">
      <c r="AC339" s="195"/>
      <c r="AP339" s="77"/>
    </row>
    <row r="340" spans="29:42" s="75" customFormat="1" ht="12.75">
      <c r="AC340" s="195"/>
      <c r="AP340" s="77"/>
    </row>
    <row r="341" spans="29:42" s="75" customFormat="1" ht="12.75">
      <c r="AC341" s="195"/>
      <c r="AP341" s="77"/>
    </row>
    <row r="342" spans="29:42" s="75" customFormat="1" ht="12.75">
      <c r="AC342" s="195"/>
      <c r="AP342" s="77"/>
    </row>
    <row r="343" spans="29:42" s="75" customFormat="1" ht="12.75">
      <c r="AC343" s="195"/>
      <c r="AP343" s="77"/>
    </row>
    <row r="344" spans="29:42" s="75" customFormat="1" ht="12.75">
      <c r="AC344" s="195"/>
      <c r="AP344" s="77"/>
    </row>
    <row r="345" spans="29:42" s="75" customFormat="1" ht="12.75">
      <c r="AC345" s="195"/>
      <c r="AP345" s="77"/>
    </row>
    <row r="346" spans="29:42" s="75" customFormat="1" ht="12.75">
      <c r="AC346" s="195"/>
      <c r="AP346" s="77"/>
    </row>
    <row r="347" spans="29:42" s="75" customFormat="1" ht="12.75">
      <c r="AC347" s="195"/>
      <c r="AP347" s="77"/>
    </row>
    <row r="348" spans="29:42" s="75" customFormat="1" ht="12.75">
      <c r="AC348" s="195"/>
      <c r="AP348" s="77"/>
    </row>
    <row r="349" spans="29:42" s="75" customFormat="1" ht="12.75">
      <c r="AC349" s="195"/>
      <c r="AP349" s="77"/>
    </row>
    <row r="350" spans="29:42" s="75" customFormat="1" ht="12.75">
      <c r="AC350" s="195"/>
      <c r="AP350" s="77"/>
    </row>
    <row r="351" spans="29:42" s="75" customFormat="1" ht="12.75">
      <c r="AC351" s="195"/>
      <c r="AP351" s="77"/>
    </row>
    <row r="352" spans="29:42" s="75" customFormat="1" ht="12.75">
      <c r="AC352" s="195"/>
      <c r="AP352" s="77"/>
    </row>
    <row r="353" spans="29:42" s="75" customFormat="1" ht="12.75">
      <c r="AC353" s="195"/>
      <c r="AP353" s="77"/>
    </row>
    <row r="354" spans="29:42" s="75" customFormat="1" ht="12.75">
      <c r="AC354" s="195"/>
      <c r="AP354" s="77"/>
    </row>
    <row r="355" spans="29:42" s="75" customFormat="1" ht="12.75">
      <c r="AC355" s="195"/>
      <c r="AP355" s="77"/>
    </row>
    <row r="356" spans="29:42" s="75" customFormat="1" ht="12.75">
      <c r="AC356" s="195"/>
      <c r="AP356" s="77"/>
    </row>
    <row r="357" spans="29:42" s="75" customFormat="1" ht="12.75">
      <c r="AC357" s="195"/>
      <c r="AP357" s="77"/>
    </row>
    <row r="358" spans="29:42" s="75" customFormat="1" ht="12.75">
      <c r="AC358" s="195"/>
      <c r="AP358" s="77"/>
    </row>
    <row r="359" spans="29:42" s="75" customFormat="1" ht="12.75">
      <c r="AC359" s="195"/>
      <c r="AP359" s="77"/>
    </row>
    <row r="360" spans="29:42" s="75" customFormat="1" ht="12.75">
      <c r="AC360" s="195"/>
      <c r="AP360" s="77"/>
    </row>
    <row r="361" spans="29:42" s="75" customFormat="1" ht="12.75">
      <c r="AC361" s="195"/>
      <c r="AP361" s="77"/>
    </row>
    <row r="362" spans="29:42" s="75" customFormat="1" ht="12.75">
      <c r="AC362" s="195"/>
      <c r="AP362" s="77"/>
    </row>
    <row r="363" spans="29:42" s="75" customFormat="1" ht="12.75">
      <c r="AC363" s="195"/>
      <c r="AP363" s="77"/>
    </row>
    <row r="364" spans="29:42" s="75" customFormat="1" ht="12.75">
      <c r="AC364" s="195"/>
      <c r="AP364" s="77"/>
    </row>
    <row r="365" spans="29:42" s="75" customFormat="1" ht="12.75">
      <c r="AC365" s="195"/>
      <c r="AP365" s="77"/>
    </row>
    <row r="366" spans="29:42" s="75" customFormat="1" ht="12.75">
      <c r="AC366" s="195"/>
      <c r="AP366" s="77"/>
    </row>
    <row r="367" spans="29:42" s="75" customFormat="1" ht="12.75">
      <c r="AC367" s="195"/>
      <c r="AP367" s="77"/>
    </row>
    <row r="368" spans="29:42" s="75" customFormat="1" ht="12.75">
      <c r="AC368" s="195"/>
      <c r="AP368" s="77"/>
    </row>
    <row r="369" spans="29:42" s="75" customFormat="1" ht="12.75">
      <c r="AC369" s="195"/>
      <c r="AP369" s="77"/>
    </row>
    <row r="370" spans="29:42" s="75" customFormat="1" ht="12.75">
      <c r="AC370" s="195"/>
      <c r="AP370" s="77"/>
    </row>
    <row r="371" spans="29:42" s="75" customFormat="1" ht="12.75">
      <c r="AC371" s="195"/>
      <c r="AP371" s="77"/>
    </row>
    <row r="372" spans="29:42" s="75" customFormat="1" ht="12.75">
      <c r="AC372" s="195"/>
      <c r="AP372" s="77"/>
    </row>
    <row r="373" spans="29:42" s="75" customFormat="1" ht="12.75">
      <c r="AC373" s="195"/>
      <c r="AP373" s="77"/>
    </row>
    <row r="374" spans="29:42" s="75" customFormat="1" ht="12.75">
      <c r="AC374" s="195"/>
      <c r="AP374" s="77"/>
    </row>
    <row r="375" spans="29:42" s="75" customFormat="1" ht="12.75">
      <c r="AC375" s="195"/>
      <c r="AP375" s="77"/>
    </row>
    <row r="376" spans="29:42" s="75" customFormat="1" ht="12.75">
      <c r="AC376" s="195"/>
      <c r="AP376" s="77"/>
    </row>
    <row r="377" spans="29:42" s="75" customFormat="1" ht="12.75">
      <c r="AC377" s="195"/>
      <c r="AP377" s="77"/>
    </row>
    <row r="378" spans="29:42" s="75" customFormat="1" ht="12.75">
      <c r="AC378" s="195"/>
      <c r="AP378" s="77"/>
    </row>
    <row r="379" spans="29:42" s="75" customFormat="1" ht="12.75">
      <c r="AC379" s="195"/>
      <c r="AP379" s="77"/>
    </row>
    <row r="380" spans="29:42" s="75" customFormat="1" ht="12.75">
      <c r="AC380" s="195"/>
      <c r="AP380" s="77"/>
    </row>
    <row r="381" spans="29:42" s="75" customFormat="1" ht="12.75">
      <c r="AC381" s="195"/>
      <c r="AP381" s="77"/>
    </row>
    <row r="382" spans="29:42" s="75" customFormat="1" ht="12.75">
      <c r="AC382" s="195"/>
      <c r="AP382" s="77"/>
    </row>
    <row r="383" spans="29:42" s="75" customFormat="1" ht="12.75">
      <c r="AC383" s="195"/>
      <c r="AP383" s="77"/>
    </row>
    <row r="384" spans="29:42" s="75" customFormat="1" ht="12.75">
      <c r="AC384" s="195"/>
      <c r="AP384" s="77"/>
    </row>
    <row r="385" spans="29:42" s="75" customFormat="1" ht="12.75">
      <c r="AC385" s="195"/>
      <c r="AP385" s="77"/>
    </row>
    <row r="386" spans="29:42" s="75" customFormat="1" ht="12.75">
      <c r="AC386" s="195"/>
      <c r="AP386" s="77"/>
    </row>
    <row r="387" spans="29:42" s="75" customFormat="1" ht="12.75">
      <c r="AC387" s="195"/>
      <c r="AP387" s="77"/>
    </row>
    <row r="388" spans="29:42" s="75" customFormat="1" ht="12.75">
      <c r="AC388" s="195"/>
      <c r="AP388" s="77"/>
    </row>
    <row r="389" spans="29:42" s="75" customFormat="1" ht="12.75">
      <c r="AC389" s="195"/>
      <c r="AP389" s="77"/>
    </row>
    <row r="390" spans="29:42" s="75" customFormat="1" ht="12.75">
      <c r="AC390" s="195"/>
      <c r="AP390" s="77"/>
    </row>
    <row r="391" spans="29:42" s="75" customFormat="1" ht="12.75">
      <c r="AC391" s="195"/>
      <c r="AP391" s="77"/>
    </row>
    <row r="392" spans="29:42" s="75" customFormat="1" ht="12.75">
      <c r="AC392" s="195"/>
      <c r="AP392" s="77"/>
    </row>
    <row r="393" spans="29:42" s="75" customFormat="1" ht="12.75">
      <c r="AC393" s="195"/>
      <c r="AP393" s="77"/>
    </row>
    <row r="394" spans="29:42" s="75" customFormat="1" ht="12.75">
      <c r="AC394" s="195"/>
      <c r="AP394" s="77"/>
    </row>
    <row r="395" spans="29:42" s="75" customFormat="1" ht="12.75">
      <c r="AC395" s="195"/>
      <c r="AP395" s="77"/>
    </row>
    <row r="396" spans="29:42" s="75" customFormat="1" ht="12.75">
      <c r="AC396" s="195"/>
      <c r="AP396" s="77"/>
    </row>
    <row r="397" spans="29:42" s="75" customFormat="1" ht="12.75">
      <c r="AC397" s="195"/>
      <c r="AP397" s="77"/>
    </row>
    <row r="398" spans="29:42" s="75" customFormat="1" ht="12.75">
      <c r="AC398" s="195"/>
      <c r="AP398" s="77"/>
    </row>
    <row r="399" spans="29:42" s="75" customFormat="1" ht="12.75">
      <c r="AC399" s="195"/>
      <c r="AP399" s="77"/>
    </row>
    <row r="400" spans="29:42" s="75" customFormat="1" ht="12.75">
      <c r="AC400" s="195"/>
      <c r="AP400" s="77"/>
    </row>
    <row r="401" spans="29:42" s="75" customFormat="1" ht="12.75">
      <c r="AC401" s="195"/>
      <c r="AP401" s="77"/>
    </row>
    <row r="402" spans="29:42" s="75" customFormat="1" ht="12.75">
      <c r="AC402" s="195"/>
      <c r="AP402" s="77"/>
    </row>
    <row r="403" spans="29:42" s="75" customFormat="1" ht="12.75">
      <c r="AC403" s="195"/>
      <c r="AP403" s="77"/>
    </row>
    <row r="404" spans="29:42" s="75" customFormat="1" ht="12.75">
      <c r="AC404" s="195"/>
      <c r="AP404" s="77"/>
    </row>
    <row r="405" spans="29:42" s="75" customFormat="1" ht="12.75">
      <c r="AC405" s="195"/>
      <c r="AP405" s="77"/>
    </row>
    <row r="406" spans="29:42" s="75" customFormat="1" ht="12.75">
      <c r="AC406" s="195"/>
      <c r="AP406" s="77"/>
    </row>
    <row r="407" spans="29:42" s="75" customFormat="1" ht="12.75">
      <c r="AC407" s="195"/>
      <c r="AP407" s="77"/>
    </row>
    <row r="408" spans="29:42" s="75" customFormat="1" ht="12.75">
      <c r="AC408" s="195"/>
      <c r="AP408" s="77"/>
    </row>
    <row r="409" spans="29:42" s="75" customFormat="1" ht="12.75">
      <c r="AC409" s="195"/>
      <c r="AP409" s="77"/>
    </row>
    <row r="410" spans="29:42" s="75" customFormat="1" ht="12.75">
      <c r="AC410" s="195"/>
      <c r="AP410" s="77"/>
    </row>
    <row r="411" spans="29:42" s="75" customFormat="1" ht="12.75">
      <c r="AC411" s="195"/>
      <c r="AP411" s="77"/>
    </row>
    <row r="412" spans="29:42" s="75" customFormat="1" ht="12.75">
      <c r="AC412" s="195"/>
      <c r="AP412" s="77"/>
    </row>
    <row r="413" spans="29:42" s="75" customFormat="1" ht="12.75">
      <c r="AC413" s="195"/>
      <c r="AP413" s="77"/>
    </row>
    <row r="414" spans="29:42" s="75" customFormat="1" ht="12.75">
      <c r="AC414" s="195"/>
      <c r="AP414" s="77"/>
    </row>
    <row r="415" spans="29:42" s="75" customFormat="1" ht="12.75">
      <c r="AC415" s="195"/>
      <c r="AP415" s="77"/>
    </row>
    <row r="416" spans="29:42" s="75" customFormat="1" ht="12.75">
      <c r="AC416" s="195"/>
      <c r="AP416" s="77"/>
    </row>
    <row r="417" spans="29:42" s="75" customFormat="1" ht="12.75">
      <c r="AC417" s="195"/>
      <c r="AP417" s="77"/>
    </row>
    <row r="418" spans="29:42" s="75" customFormat="1" ht="12.75">
      <c r="AC418" s="195"/>
      <c r="AP418" s="77"/>
    </row>
    <row r="419" spans="29:42" s="75" customFormat="1" ht="12.75">
      <c r="AC419" s="195"/>
      <c r="AP419" s="77"/>
    </row>
    <row r="420" spans="29:42" s="75" customFormat="1" ht="12.75">
      <c r="AC420" s="195"/>
      <c r="AP420" s="77"/>
    </row>
    <row r="421" spans="29:42" s="75" customFormat="1" ht="12.75">
      <c r="AC421" s="195"/>
      <c r="AP421" s="77"/>
    </row>
    <row r="422" spans="29:42" s="75" customFormat="1" ht="12.75">
      <c r="AC422" s="195"/>
      <c r="AP422" s="77"/>
    </row>
    <row r="423" spans="29:42" s="75" customFormat="1" ht="12.75">
      <c r="AC423" s="195"/>
      <c r="AP423" s="77"/>
    </row>
    <row r="424" spans="29:42" s="75" customFormat="1" ht="12.75">
      <c r="AC424" s="195"/>
      <c r="AP424" s="77"/>
    </row>
    <row r="425" spans="29:42" s="75" customFormat="1" ht="12.75">
      <c r="AC425" s="195"/>
      <c r="AP425" s="77"/>
    </row>
    <row r="426" spans="29:42" s="75" customFormat="1" ht="12.75">
      <c r="AC426" s="195"/>
      <c r="AP426" s="77"/>
    </row>
    <row r="427" spans="29:42" s="75" customFormat="1" ht="12.75">
      <c r="AC427" s="195"/>
      <c r="AP427" s="77"/>
    </row>
    <row r="428" spans="29:42" s="75" customFormat="1" ht="12.75">
      <c r="AC428" s="195"/>
      <c r="AP428" s="77"/>
    </row>
  </sheetData>
  <sheetProtection password="F582" sheet="1" objects="1" scenarios="1"/>
  <mergeCells count="38">
    <mergeCell ref="D8:E8"/>
    <mergeCell ref="D9:E9"/>
    <mergeCell ref="D10:E10"/>
    <mergeCell ref="AO22:AO23"/>
    <mergeCell ref="AP22:AP23"/>
    <mergeCell ref="AF3:AH3"/>
    <mergeCell ref="AK20:AK22"/>
    <mergeCell ref="AM13:AN13"/>
    <mergeCell ref="AL20:AN20"/>
    <mergeCell ref="AM21:AN21"/>
    <mergeCell ref="AK18:AP19"/>
    <mergeCell ref="AO20:AP21"/>
    <mergeCell ref="B9:C9"/>
    <mergeCell ref="B13:C13"/>
    <mergeCell ref="D11:E11"/>
    <mergeCell ref="D12:E12"/>
    <mergeCell ref="D13:E13"/>
    <mergeCell ref="B10:C10"/>
    <mergeCell ref="AI20:AJ21"/>
    <mergeCell ref="A2:G2"/>
    <mergeCell ref="B6:C6"/>
    <mergeCell ref="B11:C11"/>
    <mergeCell ref="B12:C12"/>
    <mergeCell ref="D6:E6"/>
    <mergeCell ref="F6:G6"/>
    <mergeCell ref="D7:E7"/>
    <mergeCell ref="B7:C7"/>
    <mergeCell ref="B8:C8"/>
    <mergeCell ref="AF1:AI1"/>
    <mergeCell ref="AK80:AQ80"/>
    <mergeCell ref="B16:C16"/>
    <mergeCell ref="D16:E16"/>
    <mergeCell ref="B14:C14"/>
    <mergeCell ref="D14:E14"/>
    <mergeCell ref="B15:C15"/>
    <mergeCell ref="D15:E15"/>
    <mergeCell ref="AF30:AJ31"/>
    <mergeCell ref="AH18:AI18"/>
  </mergeCells>
  <conditionalFormatting sqref="AG74 AM15 AL24:AP27 AH13 AH15 AL15:AL16 AN16 AF13 AF15 AK14:AK15 AH11 AK6 AK7:AL12 AM9:AM12 AL74:AL75 AJ75 AN6:AP6">
    <cfRule type="cellIs" priority="1" dxfId="0" operator="equal" stopIfTrue="1">
      <formula>0</formula>
    </cfRule>
  </conditionalFormatting>
  <conditionalFormatting sqref="B61:K65">
    <cfRule type="cellIs" priority="2" dxfId="1" operator="greaterThan" stopIfTrue="1">
      <formula>0</formula>
    </cfRule>
    <cfRule type="cellIs" priority="3" dxfId="2" operator="equal" stopIfTrue="1">
      <formula>0</formula>
    </cfRule>
  </conditionalFormatting>
  <conditionalFormatting sqref="AL31">
    <cfRule type="cellIs" priority="4" dxfId="3" operator="lessThan" stopIfTrue="1">
      <formula>$AL$30</formula>
    </cfRule>
  </conditionalFormatting>
  <conditionalFormatting sqref="AI10:AJ10">
    <cfRule type="cellIs" priority="5" dxfId="4" operator="equal" stopIfTrue="1">
      <formula>0</formula>
    </cfRule>
  </conditionalFormatting>
  <conditionalFormatting sqref="B7:E16">
    <cfRule type="cellIs" priority="6" dxfId="4" operator="greaterThan" stopIfTrue="1">
      <formula>0</formula>
    </cfRule>
    <cfRule type="cellIs" priority="7" dxfId="2" operator="equal" stopIfTrue="1">
      <formula>0</formula>
    </cfRule>
  </conditionalFormatting>
  <conditionalFormatting sqref="T32">
    <cfRule type="cellIs" priority="8" dxfId="5" operator="notEqual" stopIfTrue="1">
      <formula>100</formula>
    </cfRule>
  </conditionalFormatting>
  <conditionalFormatting sqref="AJ7">
    <cfRule type="cellIs" priority="9" dxfId="6" operator="equal" stopIfTrue="1">
      <formula>0</formula>
    </cfRule>
    <cfRule type="cellIs" priority="10" dxfId="7" operator="equal" stopIfTrue="1">
      <formula>1</formula>
    </cfRule>
  </conditionalFormatting>
  <conditionalFormatting sqref="AN17 AK17:AL17">
    <cfRule type="cellIs" priority="11" dxfId="8" operator="equal" stopIfTrue="1">
      <formula>0</formula>
    </cfRule>
  </conditionalFormatting>
  <conditionalFormatting sqref="AO30">
    <cfRule type="cellIs" priority="12" dxfId="9" operator="lessThanOrEqual" stopIfTrue="1">
      <formula>$AM$30</formula>
    </cfRule>
    <cfRule type="cellIs" priority="13" dxfId="10" operator="greaterThanOrEqual" stopIfTrue="1">
      <formula>$AQ$41/$AM$23</formula>
    </cfRule>
  </conditionalFormatting>
  <conditionalFormatting sqref="AL30">
    <cfRule type="cellIs" priority="14" dxfId="3" operator="lessThan" stopIfTrue="1">
      <formula>$AL$31</formula>
    </cfRule>
  </conditionalFormatting>
  <conditionalFormatting sqref="AP30">
    <cfRule type="cellIs" priority="15" dxfId="7" operator="lessThanOrEqual" stopIfTrue="1">
      <formula>$AN$30</formula>
    </cfRule>
    <cfRule type="cellIs" priority="16" dxfId="11" operator="greaterThanOrEqual" stopIfTrue="1">
      <formula>$AQ$41/$AN$23</formula>
    </cfRule>
  </conditionalFormatting>
  <conditionalFormatting sqref="AP31">
    <cfRule type="cellIs" priority="17" dxfId="7" operator="lessThanOrEqual" stopIfTrue="1">
      <formula>$AN$31</formula>
    </cfRule>
    <cfRule type="cellIs" priority="18" dxfId="11" operator="greaterThanOrEqual" stopIfTrue="1">
      <formula>$AQ$41/$AN$23</formula>
    </cfRule>
  </conditionalFormatting>
  <conditionalFormatting sqref="AO31">
    <cfRule type="cellIs" priority="19" dxfId="7" operator="lessThanOrEqual" stopIfTrue="1">
      <formula>$AM$31</formula>
    </cfRule>
    <cfRule type="cellIs" priority="20" dxfId="11" operator="greaterThanOrEqual" stopIfTrue="1">
      <formula>$AQ$41/$AM$23</formula>
    </cfRule>
  </conditionalFormatting>
  <conditionalFormatting sqref="AI11">
    <cfRule type="cellIs" priority="21" dxfId="0" operator="equal" stopIfTrue="1">
      <formula>0</formula>
    </cfRule>
    <cfRule type="cellIs" priority="22" dxfId="12" operator="equal" stopIfTrue="1">
      <formula>"Einheit od. Preis"</formula>
    </cfRule>
  </conditionalFormatting>
  <conditionalFormatting sqref="AJ11">
    <cfRule type="cellIs" priority="23" dxfId="0" operator="equal" stopIfTrue="1">
      <formula>0</formula>
    </cfRule>
    <cfRule type="cellIs" priority="24" dxfId="12" operator="equal" stopIfTrue="1">
      <formula>" falsch!!"</formula>
    </cfRule>
  </conditionalFormatting>
  <conditionalFormatting sqref="AO9:AP12 AN9:AN11">
    <cfRule type="cellIs" priority="25" dxfId="7" operator="equal" stopIfTrue="1">
      <formula>0</formula>
    </cfRule>
  </conditionalFormatting>
  <conditionalFormatting sqref="AN12">
    <cfRule type="cellIs" priority="26" dxfId="7" operator="equal" stopIfTrue="1">
      <formula>0</formula>
    </cfRule>
    <cfRule type="cellIs" priority="27" dxfId="5" operator="notEqual" stopIfTrue="1">
      <formula>100</formula>
    </cfRule>
  </conditionalFormatting>
  <conditionalFormatting sqref="AM7">
    <cfRule type="cellIs" priority="28" dxfId="7" operator="equal" stopIfTrue="1">
      <formula>0</formula>
    </cfRule>
    <cfRule type="cellIs" priority="29" dxfId="5" operator="equal" stopIfTrue="1">
      <formula>"-"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AB500"/>
  <sheetViews>
    <sheetView zoomScaleSheetLayoutView="100" workbookViewId="0" topLeftCell="S1">
      <selection activeCell="S3" sqref="S3"/>
    </sheetView>
  </sheetViews>
  <sheetFormatPr defaultColWidth="11.421875" defaultRowHeight="12.75"/>
  <cols>
    <col min="1" max="1" width="11.8515625" style="1" hidden="1" customWidth="1"/>
    <col min="2" max="10" width="8.57421875" style="1" hidden="1" customWidth="1"/>
    <col min="11" max="11" width="8.7109375" style="1" hidden="1" customWidth="1"/>
    <col min="12" max="13" width="4.7109375" style="1" hidden="1" customWidth="1"/>
    <col min="14" max="14" width="6.00390625" style="1" hidden="1" customWidth="1"/>
    <col min="15" max="18" width="4.7109375" style="1" hidden="1" customWidth="1"/>
    <col min="19" max="20" width="11.140625" style="1" customWidth="1"/>
    <col min="21" max="28" width="12.421875" style="1" customWidth="1"/>
    <col min="29" max="16384" width="11.421875" style="1" customWidth="1"/>
  </cols>
  <sheetData>
    <row r="1" ht="12.75"/>
    <row r="2" ht="12.75"/>
    <row r="3" spans="1:4" ht="12.75">
      <c r="A3" s="1" t="s">
        <v>4</v>
      </c>
      <c r="B3" s="1" t="str">
        <f>'Eingabe und Berechnung'!B3</f>
        <v>Fichte</v>
      </c>
      <c r="C3" s="1" t="s">
        <v>13</v>
      </c>
      <c r="D3" s="1" t="str">
        <f>'Eingabe und Berechnung'!B4</f>
        <v>IH</v>
      </c>
    </row>
    <row r="4" ht="12.75"/>
    <row r="5" spans="1:19" ht="15">
      <c r="A5" s="245" t="s">
        <v>94</v>
      </c>
      <c r="B5" s="246"/>
      <c r="C5" s="14"/>
      <c r="D5" s="14"/>
      <c r="E5" s="14"/>
      <c r="F5" s="14"/>
      <c r="G5" s="14"/>
      <c r="H5" s="14"/>
      <c r="I5" s="14"/>
      <c r="J5" s="14"/>
      <c r="K5" s="24"/>
      <c r="S5" s="2" t="s">
        <v>169</v>
      </c>
    </row>
    <row r="6" spans="1:28" ht="12.75">
      <c r="A6" s="35"/>
      <c r="B6" s="247" t="str">
        <f>A7</f>
        <v>FMO</v>
      </c>
      <c r="C6" s="247" t="str">
        <f>A8</f>
        <v>FMM</v>
      </c>
      <c r="D6" s="247" t="str">
        <f>A9</f>
        <v>RMO</v>
      </c>
      <c r="E6" s="247" t="str">
        <f>A10</f>
        <v>RMM</v>
      </c>
      <c r="F6" s="247" t="str">
        <f>A11</f>
        <v>Srm O</v>
      </c>
      <c r="G6" s="247" t="str">
        <f>A12</f>
        <v>Srm M</v>
      </c>
      <c r="H6" s="247" t="str">
        <f>A13</f>
        <v>AMM</v>
      </c>
      <c r="I6" s="248" t="str">
        <f>A14</f>
        <v>RM_1,0</v>
      </c>
      <c r="J6" s="248" t="str">
        <f>A15</f>
        <v>RM_0,35</v>
      </c>
      <c r="K6" s="249" t="str">
        <f>A16</f>
        <v>Srm_0,35</v>
      </c>
      <c r="S6" s="4" t="s">
        <v>41</v>
      </c>
      <c r="T6" s="4" t="s">
        <v>42</v>
      </c>
      <c r="U6" s="4" t="s">
        <v>48</v>
      </c>
      <c r="V6" s="4" t="s">
        <v>43</v>
      </c>
      <c r="W6" s="4" t="s">
        <v>44</v>
      </c>
      <c r="X6" s="5" t="s">
        <v>47</v>
      </c>
      <c r="Y6" s="4" t="s">
        <v>40</v>
      </c>
      <c r="Z6" s="4" t="s">
        <v>56</v>
      </c>
      <c r="AA6" s="4" t="s">
        <v>57</v>
      </c>
      <c r="AB6" s="4" t="s">
        <v>45</v>
      </c>
    </row>
    <row r="7" spans="1:28" ht="12.75">
      <c r="A7" s="250" t="s">
        <v>0</v>
      </c>
      <c r="B7" s="251">
        <v>1</v>
      </c>
      <c r="C7" s="252">
        <f>$C$8*(1-$C$102)</f>
        <v>0.88</v>
      </c>
      <c r="D7" s="252">
        <f>$D$9*$B$106</f>
        <v>0.64</v>
      </c>
      <c r="E7" s="252">
        <f>$E$10*($B$106*(1-$C$102))</f>
        <v>0.5632</v>
      </c>
      <c r="F7" s="252">
        <f>$B$107*$F$11</f>
        <v>0.4</v>
      </c>
      <c r="G7" s="252">
        <f>$G$12*$B$107*(1-$C$102)</f>
        <v>0.35200000000000004</v>
      </c>
      <c r="H7" s="252">
        <f>$H$13/$C$103*1000</f>
        <v>2.1052631578947367</v>
      </c>
      <c r="I7" s="196">
        <f>$I$8*(1-$C$102)</f>
        <v>0.616</v>
      </c>
      <c r="J7" s="196">
        <f>$J$8*(1-$C$102)</f>
        <v>0.748</v>
      </c>
      <c r="K7" s="253">
        <f>$K$8*(1-$C$102)</f>
        <v>0.44</v>
      </c>
      <c r="M7" s="156"/>
      <c r="S7" s="4" t="str">
        <f>$A$7</f>
        <v>FMO</v>
      </c>
      <c r="T7" s="3" t="str">
        <f>$B$6</f>
        <v>FMO</v>
      </c>
      <c r="U7" s="8">
        <f>B$35/V7</f>
        <v>0</v>
      </c>
      <c r="V7" s="6">
        <f>B7</f>
        <v>1</v>
      </c>
      <c r="W7" s="8">
        <f>X7+U7</f>
        <v>0</v>
      </c>
      <c r="X7" s="9">
        <f>IF(D$25=0,0,D$25/V7)</f>
        <v>0</v>
      </c>
      <c r="Y7" s="8">
        <f>B$86/V7</f>
        <v>0</v>
      </c>
      <c r="Z7" s="9">
        <f>IF(D$26=0,0,D$26/V7)</f>
        <v>0</v>
      </c>
      <c r="AA7" s="8">
        <f>U7-Z7</f>
        <v>0</v>
      </c>
      <c r="AB7" s="4"/>
    </row>
    <row r="8" spans="1:28" ht="12.75">
      <c r="A8" s="250" t="s">
        <v>3</v>
      </c>
      <c r="B8" s="252">
        <f>$B$7/(1-$C$102)</f>
        <v>1.1363636363636365</v>
      </c>
      <c r="C8" s="251">
        <v>1</v>
      </c>
      <c r="D8" s="196">
        <f>$D$9*$B$106/(1-$C$102)</f>
        <v>0.7272727272727273</v>
      </c>
      <c r="E8" s="252">
        <f>$E$10*$B$106</f>
        <v>0.64</v>
      </c>
      <c r="F8" s="252">
        <f>$F$7/(1-$C$102)</f>
        <v>0.4545454545454546</v>
      </c>
      <c r="G8" s="252">
        <f>$G$12*$B$107</f>
        <v>0.4</v>
      </c>
      <c r="H8" s="252">
        <f>$H$7/(1-$C$102)</f>
        <v>2.3923444976076556</v>
      </c>
      <c r="I8" s="196">
        <v>0.7</v>
      </c>
      <c r="J8" s="196">
        <v>0.85</v>
      </c>
      <c r="K8" s="253">
        <v>0.5</v>
      </c>
      <c r="M8" s="156"/>
      <c r="S8" s="4" t="str">
        <f>$A$8</f>
        <v>FMM</v>
      </c>
      <c r="T8" s="3" t="str">
        <f aca="true" t="shared" si="0" ref="T8:T16">$B$6</f>
        <v>FMO</v>
      </c>
      <c r="U8" s="8">
        <f aca="true" t="shared" si="1" ref="U8:U16">B$35/V8</f>
        <v>0</v>
      </c>
      <c r="V8" s="6">
        <f aca="true" t="shared" si="2" ref="V8:V16">B8</f>
        <v>1.1363636363636365</v>
      </c>
      <c r="W8" s="8">
        <f aca="true" t="shared" si="3" ref="W8:W38">X8+U8</f>
        <v>0</v>
      </c>
      <c r="X8" s="9">
        <f aca="true" t="shared" si="4" ref="X8:X15">IF(D$25=0,0,D$25/V8)</f>
        <v>0</v>
      </c>
      <c r="Y8" s="8">
        <f aca="true" t="shared" si="5" ref="Y8:Y16">B$86/V8</f>
        <v>0</v>
      </c>
      <c r="Z8" s="9">
        <f aca="true" t="shared" si="6" ref="Z8:Z16">IF(D$26=0,0,D$26/V8)</f>
        <v>0</v>
      </c>
      <c r="AA8" s="8">
        <f aca="true" t="shared" si="7" ref="AA8:AA71">U8-Z8</f>
        <v>0</v>
      </c>
      <c r="AB8" s="4"/>
    </row>
    <row r="9" spans="1:28" ht="12.75">
      <c r="A9" s="250" t="s">
        <v>89</v>
      </c>
      <c r="B9" s="252">
        <f>$B$7/$B$106</f>
        <v>1.5625</v>
      </c>
      <c r="C9" s="252">
        <f>$C$8/$B$106*(1-$C$102)</f>
        <v>1.375</v>
      </c>
      <c r="D9" s="251">
        <v>1</v>
      </c>
      <c r="E9" s="252">
        <f>$E$10*(1-$C$102)</f>
        <v>0.88</v>
      </c>
      <c r="F9" s="252">
        <f>$F$7/$B$106</f>
        <v>0.625</v>
      </c>
      <c r="G9" s="252">
        <f>$G$7/$B$106</f>
        <v>0.55</v>
      </c>
      <c r="H9" s="252">
        <f>$H$7/$B$106</f>
        <v>3.289473684210526</v>
      </c>
      <c r="I9" s="196">
        <f>$I$10*(1-$C$102)</f>
        <v>0.9625</v>
      </c>
      <c r="J9" s="196">
        <f>$J$10*(1-$C$102)</f>
        <v>1.16875</v>
      </c>
      <c r="K9" s="253">
        <f>$K$10*(1-$C$102)</f>
        <v>0.6875</v>
      </c>
      <c r="M9" s="156"/>
      <c r="S9" s="4" t="str">
        <f>$A$9</f>
        <v>RMO</v>
      </c>
      <c r="T9" s="3" t="str">
        <f t="shared" si="0"/>
        <v>FMO</v>
      </c>
      <c r="U9" s="8">
        <f t="shared" si="1"/>
        <v>0</v>
      </c>
      <c r="V9" s="6">
        <f t="shared" si="2"/>
        <v>1.5625</v>
      </c>
      <c r="W9" s="8">
        <f t="shared" si="3"/>
        <v>0</v>
      </c>
      <c r="X9" s="9">
        <f t="shared" si="4"/>
        <v>0</v>
      </c>
      <c r="Y9" s="8">
        <f t="shared" si="5"/>
        <v>0</v>
      </c>
      <c r="Z9" s="9">
        <f t="shared" si="6"/>
        <v>0</v>
      </c>
      <c r="AA9" s="8">
        <f t="shared" si="7"/>
        <v>0</v>
      </c>
      <c r="AB9" s="4"/>
    </row>
    <row r="10" spans="1:28" ht="12.75">
      <c r="A10" s="250" t="s">
        <v>91</v>
      </c>
      <c r="B10" s="252">
        <f>$B$7/($B$106*(1-$C$102))</f>
        <v>1.7755681818181817</v>
      </c>
      <c r="C10" s="252">
        <f>$C$8/$B$106</f>
        <v>1.5625</v>
      </c>
      <c r="D10" s="252">
        <f>$D$9/(1-$C$102)</f>
        <v>1.1363636363636365</v>
      </c>
      <c r="E10" s="251">
        <v>1</v>
      </c>
      <c r="F10" s="252">
        <f>$F$9/(1-$C$102)</f>
        <v>0.7102272727272727</v>
      </c>
      <c r="G10" s="252">
        <f>$G$8/$B$106</f>
        <v>0.625</v>
      </c>
      <c r="H10" s="252">
        <f>$H$7/($B$106*(1-$C$102))</f>
        <v>3.7380382775119614</v>
      </c>
      <c r="I10" s="196">
        <f>$I$8/$B$106</f>
        <v>1.09375</v>
      </c>
      <c r="J10" s="196">
        <f>$J$8/$B$106</f>
        <v>1.328125</v>
      </c>
      <c r="K10" s="253">
        <f>$K$8/$B$106</f>
        <v>0.78125</v>
      </c>
      <c r="M10" s="156"/>
      <c r="S10" s="4" t="str">
        <f>$A$10</f>
        <v>RMM</v>
      </c>
      <c r="T10" s="3" t="str">
        <f t="shared" si="0"/>
        <v>FMO</v>
      </c>
      <c r="U10" s="8">
        <f t="shared" si="1"/>
        <v>0</v>
      </c>
      <c r="V10" s="6">
        <f t="shared" si="2"/>
        <v>1.7755681818181817</v>
      </c>
      <c r="W10" s="8">
        <f t="shared" si="3"/>
        <v>0</v>
      </c>
      <c r="X10" s="9">
        <f t="shared" si="4"/>
        <v>0</v>
      </c>
      <c r="Y10" s="8">
        <f t="shared" si="5"/>
        <v>0</v>
      </c>
      <c r="Z10" s="9">
        <f t="shared" si="6"/>
        <v>0</v>
      </c>
      <c r="AA10" s="8">
        <f t="shared" si="7"/>
        <v>0</v>
      </c>
      <c r="AB10" s="4"/>
    </row>
    <row r="11" spans="1:28" ht="12.75">
      <c r="A11" s="250" t="s">
        <v>36</v>
      </c>
      <c r="B11" s="252">
        <f>1/$F$7</f>
        <v>2.5</v>
      </c>
      <c r="C11" s="252">
        <f>1/$F$8</f>
        <v>2.1999999999999997</v>
      </c>
      <c r="D11" s="252">
        <f>1/$F$9</f>
        <v>1.6</v>
      </c>
      <c r="E11" s="196">
        <f>1/$F$10</f>
        <v>1.4080000000000001</v>
      </c>
      <c r="F11" s="251">
        <v>1</v>
      </c>
      <c r="G11" s="252">
        <f>$G$12*(1-$C$102)</f>
        <v>0.88</v>
      </c>
      <c r="H11" s="252">
        <f>$H$7/$B$107</f>
        <v>5.263157894736842</v>
      </c>
      <c r="I11" s="196">
        <f>$I$7/$B$107</f>
        <v>1.5399999999999998</v>
      </c>
      <c r="J11" s="196">
        <f>$J$7/$B$107</f>
        <v>1.8699999999999999</v>
      </c>
      <c r="K11" s="253">
        <f>$K$7/$B$107</f>
        <v>1.0999999999999999</v>
      </c>
      <c r="M11" s="156"/>
      <c r="S11" s="4" t="str">
        <f>$A$11</f>
        <v>Srm O</v>
      </c>
      <c r="T11" s="3" t="str">
        <f t="shared" si="0"/>
        <v>FMO</v>
      </c>
      <c r="U11" s="8">
        <f t="shared" si="1"/>
        <v>0</v>
      </c>
      <c r="V11" s="6">
        <f t="shared" si="2"/>
        <v>2.5</v>
      </c>
      <c r="W11" s="8">
        <f t="shared" si="3"/>
        <v>0</v>
      </c>
      <c r="X11" s="9">
        <f t="shared" si="4"/>
        <v>0</v>
      </c>
      <c r="Y11" s="8">
        <f t="shared" si="5"/>
        <v>0</v>
      </c>
      <c r="Z11" s="9">
        <f t="shared" si="6"/>
        <v>0</v>
      </c>
      <c r="AA11" s="8">
        <f t="shared" si="7"/>
        <v>0</v>
      </c>
      <c r="AB11" s="4"/>
    </row>
    <row r="12" spans="1:28" ht="12.75">
      <c r="A12" s="250" t="s">
        <v>35</v>
      </c>
      <c r="B12" s="252">
        <f>1/$G$7</f>
        <v>2.840909090909091</v>
      </c>
      <c r="C12" s="252">
        <f>1/$G$8</f>
        <v>2.5</v>
      </c>
      <c r="D12" s="252">
        <f>1/$G$9</f>
        <v>1.8181818181818181</v>
      </c>
      <c r="E12" s="196">
        <f>1/$G$10</f>
        <v>1.6</v>
      </c>
      <c r="F12" s="196">
        <f>1/$G$11</f>
        <v>1.1363636363636365</v>
      </c>
      <c r="G12" s="251">
        <v>1</v>
      </c>
      <c r="H12" s="252">
        <f>$H$11/(1-$C$102)</f>
        <v>5.980861244019138</v>
      </c>
      <c r="I12" s="196">
        <f>$I$8/$B$107</f>
        <v>1.7499999999999998</v>
      </c>
      <c r="J12" s="196">
        <f>$J$8/$B$107</f>
        <v>2.125</v>
      </c>
      <c r="K12" s="253">
        <f>$K$8/$B$107</f>
        <v>1.25</v>
      </c>
      <c r="M12" s="156"/>
      <c r="S12" s="4" t="str">
        <f>$A$12</f>
        <v>Srm M</v>
      </c>
      <c r="T12" s="3" t="str">
        <f t="shared" si="0"/>
        <v>FMO</v>
      </c>
      <c r="U12" s="8">
        <f t="shared" si="1"/>
        <v>0</v>
      </c>
      <c r="V12" s="6">
        <f t="shared" si="2"/>
        <v>2.840909090909091</v>
      </c>
      <c r="W12" s="8">
        <f t="shared" si="3"/>
        <v>0</v>
      </c>
      <c r="X12" s="9">
        <f t="shared" si="4"/>
        <v>0</v>
      </c>
      <c r="Y12" s="8">
        <f t="shared" si="5"/>
        <v>0</v>
      </c>
      <c r="Z12" s="9">
        <f t="shared" si="6"/>
        <v>0</v>
      </c>
      <c r="AA12" s="8">
        <f t="shared" si="7"/>
        <v>0</v>
      </c>
      <c r="AB12" s="4"/>
    </row>
    <row r="13" spans="1:28" ht="12.75">
      <c r="A13" s="250" t="s">
        <v>29</v>
      </c>
      <c r="B13" s="252">
        <f>1/$H$7</f>
        <v>0.47500000000000003</v>
      </c>
      <c r="C13" s="252">
        <f>1/$H$8</f>
        <v>0.418</v>
      </c>
      <c r="D13" s="252">
        <f>1/$H$9</f>
        <v>0.304</v>
      </c>
      <c r="E13" s="252">
        <f>1/$H$10</f>
        <v>0.26752000000000004</v>
      </c>
      <c r="F13" s="252">
        <f>1/$H$11</f>
        <v>0.19000000000000003</v>
      </c>
      <c r="G13" s="252">
        <f>1/$H$12</f>
        <v>0.16720000000000002</v>
      </c>
      <c r="H13" s="251">
        <v>1</v>
      </c>
      <c r="I13" s="196">
        <f>$C$103/1000*$I$7</f>
        <v>0.29259999999999997</v>
      </c>
      <c r="J13" s="196">
        <f>$C$103/1000*$J$7</f>
        <v>0.3553</v>
      </c>
      <c r="K13" s="253">
        <f>$C$103/1000*$K$7</f>
        <v>0.209</v>
      </c>
      <c r="M13" s="156"/>
      <c r="S13" s="4" t="str">
        <f>$A$13</f>
        <v>AMM</v>
      </c>
      <c r="T13" s="3" t="str">
        <f t="shared" si="0"/>
        <v>FMO</v>
      </c>
      <c r="U13" s="8">
        <f t="shared" si="1"/>
        <v>0</v>
      </c>
      <c r="V13" s="6">
        <f t="shared" si="2"/>
        <v>0.47500000000000003</v>
      </c>
      <c r="W13" s="8">
        <f t="shared" si="3"/>
        <v>0</v>
      </c>
      <c r="X13" s="9">
        <f t="shared" si="4"/>
        <v>0</v>
      </c>
      <c r="Y13" s="8">
        <f t="shared" si="5"/>
        <v>0</v>
      </c>
      <c r="Z13" s="9">
        <f t="shared" si="6"/>
        <v>0</v>
      </c>
      <c r="AA13" s="8">
        <f t="shared" si="7"/>
        <v>0</v>
      </c>
      <c r="AB13" s="4"/>
    </row>
    <row r="14" spans="1:28" ht="12.75">
      <c r="A14" s="250" t="s">
        <v>170</v>
      </c>
      <c r="B14" s="196">
        <f>1/$I$7</f>
        <v>1.6233766233766234</v>
      </c>
      <c r="C14" s="196">
        <f>1/$I$8</f>
        <v>1.4285714285714286</v>
      </c>
      <c r="D14" s="196">
        <f>1/$I$9</f>
        <v>1.0389610389610389</v>
      </c>
      <c r="E14" s="196">
        <f>1/$I$10</f>
        <v>0.9142857142857143</v>
      </c>
      <c r="F14" s="196">
        <f>1/$I$11</f>
        <v>0.6493506493506495</v>
      </c>
      <c r="G14" s="196">
        <f>1/$I$12</f>
        <v>0.5714285714285715</v>
      </c>
      <c r="H14" s="196">
        <f>1/$I$13</f>
        <v>3.417634996582365</v>
      </c>
      <c r="I14" s="251">
        <v>1</v>
      </c>
      <c r="J14" s="196">
        <f>J15*0.85/0.7</f>
        <v>1.2142857142857144</v>
      </c>
      <c r="K14" s="253">
        <f>$K$8/0.7</f>
        <v>0.7142857142857143</v>
      </c>
      <c r="S14" s="4" t="str">
        <f>$A$14</f>
        <v>RM_1,0</v>
      </c>
      <c r="T14" s="3" t="str">
        <f t="shared" si="0"/>
        <v>FMO</v>
      </c>
      <c r="U14" s="8">
        <f t="shared" si="1"/>
        <v>0</v>
      </c>
      <c r="V14" s="6">
        <f t="shared" si="2"/>
        <v>1.6233766233766234</v>
      </c>
      <c r="W14" s="8">
        <f t="shared" si="3"/>
        <v>0</v>
      </c>
      <c r="X14" s="9">
        <f t="shared" si="4"/>
        <v>0</v>
      </c>
      <c r="Y14" s="8">
        <f t="shared" si="5"/>
        <v>0</v>
      </c>
      <c r="Z14" s="9">
        <f t="shared" si="6"/>
        <v>0</v>
      </c>
      <c r="AA14" s="8">
        <f t="shared" si="7"/>
        <v>0</v>
      </c>
      <c r="AB14" s="4"/>
    </row>
    <row r="15" spans="1:28" ht="12.75">
      <c r="A15" s="250" t="s">
        <v>171</v>
      </c>
      <c r="B15" s="196">
        <f>1/$J$7</f>
        <v>1.3368983957219251</v>
      </c>
      <c r="C15" s="196">
        <f>1/$J$8</f>
        <v>1.1764705882352942</v>
      </c>
      <c r="D15" s="196">
        <f>1/$J$9</f>
        <v>0.8556149732620321</v>
      </c>
      <c r="E15" s="196">
        <f>1/$J$10</f>
        <v>0.7529411764705882</v>
      </c>
      <c r="F15" s="196">
        <f>1/$J$11</f>
        <v>0.5347593582887701</v>
      </c>
      <c r="G15" s="196">
        <f>1/$J$12</f>
        <v>0.47058823529411764</v>
      </c>
      <c r="H15" s="196">
        <f>1/$J$13</f>
        <v>2.8145229383619474</v>
      </c>
      <c r="I15" s="196">
        <f>1/$J$14</f>
        <v>0.8235294117647058</v>
      </c>
      <c r="J15" s="251">
        <v>1</v>
      </c>
      <c r="K15" s="253">
        <f>K8/0.85</f>
        <v>0.5882352941176471</v>
      </c>
      <c r="S15" s="4" t="str">
        <f>$A$15</f>
        <v>RM_0,35</v>
      </c>
      <c r="T15" s="3" t="str">
        <f t="shared" si="0"/>
        <v>FMO</v>
      </c>
      <c r="U15" s="8">
        <f t="shared" si="1"/>
        <v>0</v>
      </c>
      <c r="V15" s="6">
        <f t="shared" si="2"/>
        <v>1.3368983957219251</v>
      </c>
      <c r="W15" s="8">
        <f t="shared" si="3"/>
        <v>0</v>
      </c>
      <c r="X15" s="9">
        <f t="shared" si="4"/>
        <v>0</v>
      </c>
      <c r="Y15" s="8">
        <f t="shared" si="5"/>
        <v>0</v>
      </c>
      <c r="Z15" s="9">
        <f t="shared" si="6"/>
        <v>0</v>
      </c>
      <c r="AA15" s="8">
        <f t="shared" si="7"/>
        <v>0</v>
      </c>
      <c r="AB15" s="4"/>
    </row>
    <row r="16" spans="1:28" ht="12.75">
      <c r="A16" s="254" t="s">
        <v>172</v>
      </c>
      <c r="B16" s="255">
        <f>1/$K$7</f>
        <v>2.272727272727273</v>
      </c>
      <c r="C16" s="255">
        <f>1/$K$8</f>
        <v>2</v>
      </c>
      <c r="D16" s="255">
        <f>1/$K$9</f>
        <v>1.4545454545454546</v>
      </c>
      <c r="E16" s="255">
        <f>1/$K$10</f>
        <v>1.28</v>
      </c>
      <c r="F16" s="255">
        <f>1/$K$11</f>
        <v>0.9090909090909092</v>
      </c>
      <c r="G16" s="255">
        <f>1/$K$12</f>
        <v>0.8</v>
      </c>
      <c r="H16" s="255">
        <f>1/$K$13</f>
        <v>4.784688995215311</v>
      </c>
      <c r="I16" s="255">
        <f>1/$K$14</f>
        <v>1.4</v>
      </c>
      <c r="J16" s="255">
        <f>1/$K$15</f>
        <v>1.7</v>
      </c>
      <c r="K16" s="256">
        <v>1</v>
      </c>
      <c r="S16" s="4" t="str">
        <f>$A$16</f>
        <v>Srm_0,35</v>
      </c>
      <c r="T16" s="3" t="str">
        <f t="shared" si="0"/>
        <v>FMO</v>
      </c>
      <c r="U16" s="8">
        <f t="shared" si="1"/>
        <v>0</v>
      </c>
      <c r="V16" s="6">
        <f t="shared" si="2"/>
        <v>2.272727272727273</v>
      </c>
      <c r="W16" s="8">
        <f t="shared" si="3"/>
        <v>0</v>
      </c>
      <c r="X16" s="9">
        <f>IF(D$25=0,0,D$25/V16)</f>
        <v>0</v>
      </c>
      <c r="Y16" s="8">
        <f t="shared" si="5"/>
        <v>0</v>
      </c>
      <c r="Z16" s="9">
        <f t="shared" si="6"/>
        <v>0</v>
      </c>
      <c r="AA16" s="8">
        <f t="shared" si="7"/>
        <v>0</v>
      </c>
      <c r="AB16" s="4"/>
    </row>
    <row r="17" spans="10:28" ht="12.75">
      <c r="J17" s="7"/>
      <c r="S17" s="4" t="str">
        <f>$A$7</f>
        <v>FMO</v>
      </c>
      <c r="T17" s="3" t="str">
        <f aca="true" t="shared" si="8" ref="T17:T26">$C$6</f>
        <v>FMM</v>
      </c>
      <c r="U17" s="8">
        <f>C$35/V17</f>
        <v>0</v>
      </c>
      <c r="V17" s="6">
        <f>C7</f>
        <v>0.88</v>
      </c>
      <c r="W17" s="8">
        <f t="shared" si="3"/>
        <v>0</v>
      </c>
      <c r="X17" s="9">
        <f>IF(E$25=0,0,E$25/V17)</f>
        <v>0</v>
      </c>
      <c r="Y17" s="8">
        <f>C$86/V17</f>
        <v>0</v>
      </c>
      <c r="Z17" s="9">
        <f>IF(F$26=0,0,F$26/V17)</f>
        <v>0</v>
      </c>
      <c r="AA17" s="8">
        <f t="shared" si="7"/>
        <v>0</v>
      </c>
      <c r="AB17" s="4"/>
    </row>
    <row r="18" spans="10:28" ht="12.75">
      <c r="J18" s="7"/>
      <c r="S18" s="4" t="str">
        <f>$A$8</f>
        <v>FMM</v>
      </c>
      <c r="T18" s="3" t="str">
        <f t="shared" si="8"/>
        <v>FMM</v>
      </c>
      <c r="U18" s="8">
        <f aca="true" t="shared" si="9" ref="U18:U26">C$35/V18</f>
        <v>0</v>
      </c>
      <c r="V18" s="6">
        <f aca="true" t="shared" si="10" ref="V18:V26">C8</f>
        <v>1</v>
      </c>
      <c r="W18" s="8">
        <f t="shared" si="3"/>
        <v>0</v>
      </c>
      <c r="X18" s="9">
        <f aca="true" t="shared" si="11" ref="X18:X26">IF(E$25=0,0,E$25/V18)</f>
        <v>0</v>
      </c>
      <c r="Y18" s="8">
        <f aca="true" t="shared" si="12" ref="Y18:Y26">C$86/V18</f>
        <v>0</v>
      </c>
      <c r="Z18" s="9">
        <f aca="true" t="shared" si="13" ref="Z18:Z36">IF(F$26=0,0,F$26/V18)</f>
        <v>0</v>
      </c>
      <c r="AA18" s="8">
        <f t="shared" si="7"/>
        <v>0</v>
      </c>
      <c r="AB18" s="4"/>
    </row>
    <row r="19" spans="10:28" ht="12.75">
      <c r="J19" s="7"/>
      <c r="S19" s="4" t="str">
        <f>$A$9</f>
        <v>RMO</v>
      </c>
      <c r="T19" s="3" t="str">
        <f t="shared" si="8"/>
        <v>FMM</v>
      </c>
      <c r="U19" s="8">
        <f t="shared" si="9"/>
        <v>0</v>
      </c>
      <c r="V19" s="6">
        <f t="shared" si="10"/>
        <v>1.375</v>
      </c>
      <c r="W19" s="8">
        <f t="shared" si="3"/>
        <v>0</v>
      </c>
      <c r="X19" s="9">
        <f t="shared" si="11"/>
        <v>0</v>
      </c>
      <c r="Y19" s="8">
        <f t="shared" si="12"/>
        <v>0</v>
      </c>
      <c r="Z19" s="9">
        <f t="shared" si="13"/>
        <v>0</v>
      </c>
      <c r="AA19" s="8">
        <f t="shared" si="7"/>
        <v>0</v>
      </c>
      <c r="AB19" s="4"/>
    </row>
    <row r="20" spans="1:28" ht="12.75">
      <c r="A20" s="244" t="s">
        <v>38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4"/>
      <c r="S20" s="4" t="str">
        <f>$A$10</f>
        <v>RMM</v>
      </c>
      <c r="T20" s="3" t="str">
        <f t="shared" si="8"/>
        <v>FMM</v>
      </c>
      <c r="U20" s="8">
        <f t="shared" si="9"/>
        <v>0</v>
      </c>
      <c r="V20" s="6">
        <f t="shared" si="10"/>
        <v>1.5625</v>
      </c>
      <c r="W20" s="8">
        <f t="shared" si="3"/>
        <v>0</v>
      </c>
      <c r="X20" s="9">
        <f t="shared" si="11"/>
        <v>0</v>
      </c>
      <c r="Y20" s="8">
        <f t="shared" si="12"/>
        <v>0</v>
      </c>
      <c r="Z20" s="9">
        <f t="shared" si="13"/>
        <v>0</v>
      </c>
      <c r="AA20" s="8">
        <f t="shared" si="7"/>
        <v>0</v>
      </c>
      <c r="AB20" s="4"/>
    </row>
    <row r="21" spans="1:28" ht="12.75">
      <c r="A21" s="17"/>
      <c r="B21" s="18"/>
      <c r="C21" s="18"/>
      <c r="D21" s="199" t="str">
        <f aca="true" t="shared" si="14" ref="D21:J21">B6</f>
        <v>FMO</v>
      </c>
      <c r="E21" s="199" t="str">
        <f t="shared" si="14"/>
        <v>FMM</v>
      </c>
      <c r="F21" s="199" t="str">
        <f t="shared" si="14"/>
        <v>RMO</v>
      </c>
      <c r="G21" s="199" t="str">
        <f t="shared" si="14"/>
        <v>RMM</v>
      </c>
      <c r="H21" s="199" t="str">
        <f t="shared" si="14"/>
        <v>Srm O</v>
      </c>
      <c r="I21" s="199" t="str">
        <f t="shared" si="14"/>
        <v>Srm M</v>
      </c>
      <c r="J21" s="199" t="str">
        <f t="shared" si="14"/>
        <v>AMM</v>
      </c>
      <c r="K21" s="199" t="str">
        <f>I6</f>
        <v>RM_1,0</v>
      </c>
      <c r="L21" s="199" t="str">
        <f>J6</f>
        <v>RM_0,35</v>
      </c>
      <c r="M21" s="201" t="str">
        <f>K6</f>
        <v>Srm_0,35</v>
      </c>
      <c r="S21" s="4" t="str">
        <f>$A$11</f>
        <v>Srm O</v>
      </c>
      <c r="T21" s="3" t="str">
        <f t="shared" si="8"/>
        <v>FMM</v>
      </c>
      <c r="U21" s="8">
        <f t="shared" si="9"/>
        <v>0</v>
      </c>
      <c r="V21" s="6">
        <f t="shared" si="10"/>
        <v>2.1999999999999997</v>
      </c>
      <c r="W21" s="8">
        <f t="shared" si="3"/>
        <v>0</v>
      </c>
      <c r="X21" s="9">
        <f t="shared" si="11"/>
        <v>0</v>
      </c>
      <c r="Y21" s="8">
        <f t="shared" si="12"/>
        <v>0</v>
      </c>
      <c r="Z21" s="9">
        <f t="shared" si="13"/>
        <v>0</v>
      </c>
      <c r="AA21" s="8">
        <f t="shared" si="7"/>
        <v>0</v>
      </c>
      <c r="AB21" s="4"/>
    </row>
    <row r="22" spans="1:28" ht="12.75">
      <c r="A22" s="17"/>
      <c r="B22" s="18"/>
      <c r="C22" s="193" t="str">
        <f>'Eingabe und Berechnung'!A61</f>
        <v>Manipulation und Lagerung</v>
      </c>
      <c r="D22" s="15">
        <f>'Eingabe und Berechnung'!B61</f>
        <v>0</v>
      </c>
      <c r="E22" s="15">
        <f>'Eingabe und Berechnung'!C61</f>
        <v>0</v>
      </c>
      <c r="F22" s="15">
        <f>'Eingabe und Berechnung'!D61</f>
        <v>0</v>
      </c>
      <c r="G22" s="15">
        <f>'Eingabe und Berechnung'!E61</f>
        <v>0</v>
      </c>
      <c r="H22" s="15">
        <f>'Eingabe und Berechnung'!F61</f>
        <v>0</v>
      </c>
      <c r="I22" s="15">
        <f>'Eingabe und Berechnung'!G61</f>
        <v>0</v>
      </c>
      <c r="J22" s="15">
        <f>'Eingabe und Berechnung'!H61</f>
        <v>0</v>
      </c>
      <c r="K22" s="15">
        <f>'Eingabe und Berechnung'!I61</f>
        <v>0</v>
      </c>
      <c r="L22" s="15">
        <f>'Eingabe und Berechnung'!J61</f>
        <v>0</v>
      </c>
      <c r="M22" s="16">
        <f>'Eingabe und Berechnung'!K61</f>
        <v>0</v>
      </c>
      <c r="S22" s="4" t="str">
        <f>$A$12</f>
        <v>Srm M</v>
      </c>
      <c r="T22" s="3" t="str">
        <f t="shared" si="8"/>
        <v>FMM</v>
      </c>
      <c r="U22" s="8">
        <f t="shared" si="9"/>
        <v>0</v>
      </c>
      <c r="V22" s="6">
        <f t="shared" si="10"/>
        <v>2.5</v>
      </c>
      <c r="W22" s="8">
        <f t="shared" si="3"/>
        <v>0</v>
      </c>
      <c r="X22" s="9">
        <f t="shared" si="11"/>
        <v>0</v>
      </c>
      <c r="Y22" s="8">
        <f t="shared" si="12"/>
        <v>0</v>
      </c>
      <c r="Z22" s="9">
        <f t="shared" si="13"/>
        <v>0</v>
      </c>
      <c r="AA22" s="8">
        <f t="shared" si="7"/>
        <v>0</v>
      </c>
      <c r="AB22" s="4"/>
    </row>
    <row r="23" spans="1:28" ht="12.75">
      <c r="A23" s="17"/>
      <c r="B23" s="18"/>
      <c r="C23" s="193" t="str">
        <f>'Eingabe und Berechnung'!A64</f>
        <v>Hacken</v>
      </c>
      <c r="D23" s="15">
        <f>'Eingabe und Berechnung'!B64</f>
        <v>0</v>
      </c>
      <c r="E23" s="15">
        <f>'Eingabe und Berechnung'!C64</f>
        <v>0</v>
      </c>
      <c r="F23" s="15">
        <f>'Eingabe und Berechnung'!D64</f>
        <v>0</v>
      </c>
      <c r="G23" s="15">
        <f>'Eingabe und Berechnung'!E64</f>
        <v>0</v>
      </c>
      <c r="H23" s="15">
        <f>'Eingabe und Berechnung'!F64</f>
        <v>0</v>
      </c>
      <c r="I23" s="15">
        <f>'Eingabe und Berechnung'!G64</f>
        <v>0</v>
      </c>
      <c r="J23" s="15">
        <f>'Eingabe und Berechnung'!H64</f>
        <v>0</v>
      </c>
      <c r="K23" s="15">
        <f>'Eingabe und Berechnung'!I64</f>
        <v>0</v>
      </c>
      <c r="L23" s="15">
        <f>'Eingabe und Berechnung'!J64</f>
        <v>0</v>
      </c>
      <c r="M23" s="16">
        <f>'Eingabe und Berechnung'!K64</f>
        <v>0</v>
      </c>
      <c r="S23" s="4" t="str">
        <f>$A$13</f>
        <v>AMM</v>
      </c>
      <c r="T23" s="3" t="str">
        <f t="shared" si="8"/>
        <v>FMM</v>
      </c>
      <c r="U23" s="8">
        <f t="shared" si="9"/>
        <v>0</v>
      </c>
      <c r="V23" s="6">
        <f t="shared" si="10"/>
        <v>0.418</v>
      </c>
      <c r="W23" s="8">
        <f t="shared" si="3"/>
        <v>0</v>
      </c>
      <c r="X23" s="9">
        <f t="shared" si="11"/>
        <v>0</v>
      </c>
      <c r="Y23" s="8">
        <f t="shared" si="12"/>
        <v>0</v>
      </c>
      <c r="Z23" s="9">
        <f t="shared" si="13"/>
        <v>0</v>
      </c>
      <c r="AA23" s="8">
        <f t="shared" si="7"/>
        <v>0</v>
      </c>
      <c r="AB23" s="4"/>
    </row>
    <row r="24" spans="1:28" ht="12.75">
      <c r="A24" s="17"/>
      <c r="B24" s="18"/>
      <c r="C24" s="193" t="str">
        <f>'Eingabe und Berechnung'!A65</f>
        <v>Transport ins Werk</v>
      </c>
      <c r="D24" s="15">
        <f>'Eingabe und Berechnung'!B65</f>
        <v>0</v>
      </c>
      <c r="E24" s="15">
        <f>'Eingabe und Berechnung'!C65</f>
        <v>0</v>
      </c>
      <c r="F24" s="15">
        <f>'Eingabe und Berechnung'!D65</f>
        <v>0</v>
      </c>
      <c r="G24" s="15">
        <f>'Eingabe und Berechnung'!E65</f>
        <v>0</v>
      </c>
      <c r="H24" s="15">
        <f>'Eingabe und Berechnung'!F65</f>
        <v>0</v>
      </c>
      <c r="I24" s="15">
        <f>'Eingabe und Berechnung'!G65</f>
        <v>0</v>
      </c>
      <c r="J24" s="15">
        <f>'Eingabe und Berechnung'!H65</f>
        <v>0</v>
      </c>
      <c r="K24" s="15">
        <f>'Eingabe und Berechnung'!I65</f>
        <v>0</v>
      </c>
      <c r="L24" s="15">
        <f>'Eingabe und Berechnung'!J65</f>
        <v>0</v>
      </c>
      <c r="M24" s="16">
        <f>'Eingabe und Berechnung'!K65</f>
        <v>0</v>
      </c>
      <c r="S24" s="4" t="str">
        <f>$A$14</f>
        <v>RM_1,0</v>
      </c>
      <c r="T24" s="3" t="str">
        <f t="shared" si="8"/>
        <v>FMM</v>
      </c>
      <c r="U24" s="8">
        <f t="shared" si="9"/>
        <v>0</v>
      </c>
      <c r="V24" s="6">
        <f t="shared" si="10"/>
        <v>1.4285714285714286</v>
      </c>
      <c r="W24" s="8">
        <f t="shared" si="3"/>
        <v>0</v>
      </c>
      <c r="X24" s="9">
        <f t="shared" si="11"/>
        <v>0</v>
      </c>
      <c r="Y24" s="8">
        <f t="shared" si="12"/>
        <v>0</v>
      </c>
      <c r="Z24" s="9">
        <f t="shared" si="13"/>
        <v>0</v>
      </c>
      <c r="AA24" s="8">
        <f t="shared" si="7"/>
        <v>0</v>
      </c>
      <c r="AB24" s="4"/>
    </row>
    <row r="25" spans="1:28" ht="12.75">
      <c r="A25" s="17"/>
      <c r="B25" s="18"/>
      <c r="C25" s="240" t="s">
        <v>47</v>
      </c>
      <c r="D25" s="241">
        <f>IF(D24=0,0,SUM(D22:D24))</f>
        <v>0</v>
      </c>
      <c r="E25" s="241">
        <f aca="true" t="shared" si="15" ref="E25:J25">IF(E24=0,0,SUM(E22:E24))</f>
        <v>0</v>
      </c>
      <c r="F25" s="241">
        <f t="shared" si="15"/>
        <v>0</v>
      </c>
      <c r="G25" s="241">
        <f t="shared" si="15"/>
        <v>0</v>
      </c>
      <c r="H25" s="241">
        <f t="shared" si="15"/>
        <v>0</v>
      </c>
      <c r="I25" s="241">
        <f t="shared" si="15"/>
        <v>0</v>
      </c>
      <c r="J25" s="241">
        <f t="shared" si="15"/>
        <v>0</v>
      </c>
      <c r="K25" s="241">
        <f>IF(K24=0,0,SUM(K22:K24))</f>
        <v>0</v>
      </c>
      <c r="L25" s="241">
        <f>IF(L24=0,0,SUM(L22:L24))</f>
        <v>0</v>
      </c>
      <c r="M25" s="242">
        <f>IF(M24=0,0,SUM(M22:M24))</f>
        <v>0</v>
      </c>
      <c r="S25" s="4" t="str">
        <f>$A$15</f>
        <v>RM_0,35</v>
      </c>
      <c r="T25" s="3" t="str">
        <f t="shared" si="8"/>
        <v>FMM</v>
      </c>
      <c r="U25" s="8">
        <f t="shared" si="9"/>
        <v>0</v>
      </c>
      <c r="V25" s="6">
        <f t="shared" si="10"/>
        <v>1.1764705882352942</v>
      </c>
      <c r="W25" s="8">
        <f t="shared" si="3"/>
        <v>0</v>
      </c>
      <c r="X25" s="9">
        <f t="shared" si="11"/>
        <v>0</v>
      </c>
      <c r="Y25" s="8">
        <f t="shared" si="12"/>
        <v>0</v>
      </c>
      <c r="Z25" s="9">
        <f t="shared" si="13"/>
        <v>0</v>
      </c>
      <c r="AA25" s="8">
        <f t="shared" si="7"/>
        <v>0</v>
      </c>
      <c r="AB25" s="4"/>
    </row>
    <row r="26" spans="1:28" ht="12.75">
      <c r="A26" s="19"/>
      <c r="B26" s="20"/>
      <c r="C26" s="243" t="s">
        <v>55</v>
      </c>
      <c r="D26" s="21">
        <f>SUM(D22:D23)</f>
        <v>0</v>
      </c>
      <c r="E26" s="21">
        <f aca="true" t="shared" si="16" ref="E26:J26">SUM(E22:E23)</f>
        <v>0</v>
      </c>
      <c r="F26" s="21">
        <f t="shared" si="16"/>
        <v>0</v>
      </c>
      <c r="G26" s="21">
        <f t="shared" si="16"/>
        <v>0</v>
      </c>
      <c r="H26" s="21">
        <f t="shared" si="16"/>
        <v>0</v>
      </c>
      <c r="I26" s="21">
        <f t="shared" si="16"/>
        <v>0</v>
      </c>
      <c r="J26" s="21">
        <f t="shared" si="16"/>
        <v>0</v>
      </c>
      <c r="K26" s="21">
        <f>SUM(K22:K23)</f>
        <v>0</v>
      </c>
      <c r="L26" s="21">
        <f>SUM(L22:L23)</f>
        <v>0</v>
      </c>
      <c r="M26" s="22">
        <f>SUM(M22:M23)</f>
        <v>0</v>
      </c>
      <c r="S26" s="4" t="str">
        <f>$A$16</f>
        <v>Srm_0,35</v>
      </c>
      <c r="T26" s="3" t="str">
        <f t="shared" si="8"/>
        <v>FMM</v>
      </c>
      <c r="U26" s="8">
        <f t="shared" si="9"/>
        <v>0</v>
      </c>
      <c r="V26" s="6">
        <f t="shared" si="10"/>
        <v>2</v>
      </c>
      <c r="W26" s="8">
        <f t="shared" si="3"/>
        <v>0</v>
      </c>
      <c r="X26" s="9">
        <f t="shared" si="11"/>
        <v>0</v>
      </c>
      <c r="Y26" s="8">
        <f t="shared" si="12"/>
        <v>0</v>
      </c>
      <c r="Z26" s="9">
        <f t="shared" si="13"/>
        <v>0</v>
      </c>
      <c r="AA26" s="8">
        <f t="shared" si="7"/>
        <v>0</v>
      </c>
      <c r="AB26" s="4"/>
    </row>
    <row r="27" spans="19:28" ht="12.75">
      <c r="S27" s="4" t="str">
        <f>$A$7</f>
        <v>FMO</v>
      </c>
      <c r="T27" s="3" t="str">
        <f aca="true" t="shared" si="17" ref="T27:T36">$D$6</f>
        <v>RMO</v>
      </c>
      <c r="U27" s="8">
        <f>D$35/V27</f>
        <v>0</v>
      </c>
      <c r="V27" s="6">
        <f>D7</f>
        <v>0.64</v>
      </c>
      <c r="W27" s="8">
        <f t="shared" si="3"/>
        <v>0</v>
      </c>
      <c r="X27" s="9">
        <f>IF(F$25=0,0,F$25/V27)</f>
        <v>0</v>
      </c>
      <c r="Y27" s="8">
        <f>D$86/V27</f>
        <v>0</v>
      </c>
      <c r="Z27" s="9">
        <f t="shared" si="13"/>
        <v>0</v>
      </c>
      <c r="AA27" s="8">
        <f t="shared" si="7"/>
        <v>0</v>
      </c>
      <c r="AB27" s="4"/>
    </row>
    <row r="28" spans="5:28" ht="12.75">
      <c r="E28" s="196"/>
      <c r="S28" s="4" t="str">
        <f>$A$8</f>
        <v>FMM</v>
      </c>
      <c r="T28" s="3" t="str">
        <f t="shared" si="17"/>
        <v>RMO</v>
      </c>
      <c r="U28" s="8">
        <f aca="true" t="shared" si="18" ref="U28:U36">D$35/V28</f>
        <v>0</v>
      </c>
      <c r="V28" s="6">
        <f aca="true" t="shared" si="19" ref="V28:V36">D8</f>
        <v>0.7272727272727273</v>
      </c>
      <c r="W28" s="8">
        <f t="shared" si="3"/>
        <v>0</v>
      </c>
      <c r="X28" s="9">
        <f aca="true" t="shared" si="20" ref="X28:X36">IF(F$25=0,0,F$25/V28)</f>
        <v>0</v>
      </c>
      <c r="Y28" s="8">
        <f aca="true" t="shared" si="21" ref="Y28:Y36">D$86/V28</f>
        <v>0</v>
      </c>
      <c r="Z28" s="9">
        <f t="shared" si="13"/>
        <v>0</v>
      </c>
      <c r="AA28" s="8">
        <f t="shared" si="7"/>
        <v>0</v>
      </c>
      <c r="AB28" s="4"/>
    </row>
    <row r="29" spans="5:28" ht="12.75">
      <c r="E29" s="196"/>
      <c r="S29" s="4" t="str">
        <f>$A$9</f>
        <v>RMO</v>
      </c>
      <c r="T29" s="3" t="str">
        <f t="shared" si="17"/>
        <v>RMO</v>
      </c>
      <c r="U29" s="8">
        <f t="shared" si="18"/>
        <v>0</v>
      </c>
      <c r="V29" s="6">
        <f t="shared" si="19"/>
        <v>1</v>
      </c>
      <c r="W29" s="8">
        <f t="shared" si="3"/>
        <v>0</v>
      </c>
      <c r="X29" s="9">
        <f t="shared" si="20"/>
        <v>0</v>
      </c>
      <c r="Y29" s="8">
        <f t="shared" si="21"/>
        <v>0</v>
      </c>
      <c r="Z29" s="9">
        <f t="shared" si="13"/>
        <v>0</v>
      </c>
      <c r="AA29" s="8">
        <f t="shared" si="7"/>
        <v>0</v>
      </c>
      <c r="AB29" s="4"/>
    </row>
    <row r="30" spans="5:28" ht="12.75">
      <c r="E30" s="196"/>
      <c r="S30" s="4" t="str">
        <f>$A$10</f>
        <v>RMM</v>
      </c>
      <c r="T30" s="3" t="str">
        <f t="shared" si="17"/>
        <v>RMO</v>
      </c>
      <c r="U30" s="8">
        <f t="shared" si="18"/>
        <v>0</v>
      </c>
      <c r="V30" s="6">
        <f t="shared" si="19"/>
        <v>1.1363636363636365</v>
      </c>
      <c r="W30" s="8">
        <f t="shared" si="3"/>
        <v>0</v>
      </c>
      <c r="X30" s="9">
        <f t="shared" si="20"/>
        <v>0</v>
      </c>
      <c r="Y30" s="8">
        <f t="shared" si="21"/>
        <v>0</v>
      </c>
      <c r="Z30" s="9">
        <f t="shared" si="13"/>
        <v>0</v>
      </c>
      <c r="AA30" s="8">
        <f t="shared" si="7"/>
        <v>0</v>
      </c>
      <c r="AB30" s="4"/>
    </row>
    <row r="31" spans="19:28" ht="12.75">
      <c r="S31" s="4" t="str">
        <f>$A$11</f>
        <v>Srm O</v>
      </c>
      <c r="T31" s="3" t="str">
        <f t="shared" si="17"/>
        <v>RMO</v>
      </c>
      <c r="U31" s="8">
        <f t="shared" si="18"/>
        <v>0</v>
      </c>
      <c r="V31" s="6">
        <f t="shared" si="19"/>
        <v>1.6</v>
      </c>
      <c r="W31" s="8">
        <f t="shared" si="3"/>
        <v>0</v>
      </c>
      <c r="X31" s="9">
        <f t="shared" si="20"/>
        <v>0</v>
      </c>
      <c r="Y31" s="8">
        <f t="shared" si="21"/>
        <v>0</v>
      </c>
      <c r="Z31" s="9">
        <f t="shared" si="13"/>
        <v>0</v>
      </c>
      <c r="AA31" s="8">
        <f t="shared" si="7"/>
        <v>0</v>
      </c>
      <c r="AB31" s="4"/>
    </row>
    <row r="32" spans="1:28" ht="15">
      <c r="A32" s="2" t="s">
        <v>93</v>
      </c>
      <c r="S32" s="4" t="str">
        <f>$A$12</f>
        <v>Srm M</v>
      </c>
      <c r="T32" s="3" t="str">
        <f t="shared" si="17"/>
        <v>RMO</v>
      </c>
      <c r="U32" s="8">
        <f t="shared" si="18"/>
        <v>0</v>
      </c>
      <c r="V32" s="6">
        <f t="shared" si="19"/>
        <v>1.8181818181818181</v>
      </c>
      <c r="W32" s="8">
        <f t="shared" si="3"/>
        <v>0</v>
      </c>
      <c r="X32" s="9">
        <f t="shared" si="20"/>
        <v>0</v>
      </c>
      <c r="Y32" s="8">
        <f t="shared" si="21"/>
        <v>0</v>
      </c>
      <c r="Z32" s="9">
        <f t="shared" si="13"/>
        <v>0</v>
      </c>
      <c r="AA32" s="8">
        <f t="shared" si="7"/>
        <v>0</v>
      </c>
      <c r="AB32" s="4"/>
    </row>
    <row r="33" spans="1:28" ht="15">
      <c r="A33" s="23"/>
      <c r="B33" s="257" t="s">
        <v>48</v>
      </c>
      <c r="C33" s="14"/>
      <c r="D33" s="14"/>
      <c r="E33" s="14"/>
      <c r="F33" s="14"/>
      <c r="G33" s="14"/>
      <c r="H33" s="14"/>
      <c r="I33" s="14"/>
      <c r="J33" s="14"/>
      <c r="K33" s="24"/>
      <c r="S33" s="4" t="str">
        <f>$A$13</f>
        <v>AMM</v>
      </c>
      <c r="T33" s="3" t="str">
        <f t="shared" si="17"/>
        <v>RMO</v>
      </c>
      <c r="U33" s="8">
        <f t="shared" si="18"/>
        <v>0</v>
      </c>
      <c r="V33" s="6">
        <f t="shared" si="19"/>
        <v>0.304</v>
      </c>
      <c r="W33" s="8">
        <f t="shared" si="3"/>
        <v>0</v>
      </c>
      <c r="X33" s="9">
        <f t="shared" si="20"/>
        <v>0</v>
      </c>
      <c r="Y33" s="8">
        <f t="shared" si="21"/>
        <v>0</v>
      </c>
      <c r="Z33" s="9">
        <f t="shared" si="13"/>
        <v>0</v>
      </c>
      <c r="AA33" s="8">
        <f t="shared" si="7"/>
        <v>0</v>
      </c>
      <c r="AB33" s="4"/>
    </row>
    <row r="34" spans="1:28" ht="12.75">
      <c r="A34" s="35"/>
      <c r="B34" s="247" t="str">
        <f aca="true" t="shared" si="22" ref="B34:K34">B6</f>
        <v>FMO</v>
      </c>
      <c r="C34" s="247" t="str">
        <f t="shared" si="22"/>
        <v>FMM</v>
      </c>
      <c r="D34" s="247" t="str">
        <f t="shared" si="22"/>
        <v>RMO</v>
      </c>
      <c r="E34" s="247" t="str">
        <f t="shared" si="22"/>
        <v>RMM</v>
      </c>
      <c r="F34" s="247" t="str">
        <f t="shared" si="22"/>
        <v>Srm O</v>
      </c>
      <c r="G34" s="247" t="str">
        <f t="shared" si="22"/>
        <v>Srm M</v>
      </c>
      <c r="H34" s="247" t="str">
        <f t="shared" si="22"/>
        <v>AMM</v>
      </c>
      <c r="I34" s="247" t="str">
        <f t="shared" si="22"/>
        <v>RM_1,0</v>
      </c>
      <c r="J34" s="247" t="str">
        <f t="shared" si="22"/>
        <v>RM_0,35</v>
      </c>
      <c r="K34" s="258" t="str">
        <f t="shared" si="22"/>
        <v>Srm_0,35</v>
      </c>
      <c r="S34" s="4" t="str">
        <f>$A$14</f>
        <v>RM_1,0</v>
      </c>
      <c r="T34" s="3" t="str">
        <f t="shared" si="17"/>
        <v>RMO</v>
      </c>
      <c r="U34" s="8">
        <f t="shared" si="18"/>
        <v>0</v>
      </c>
      <c r="V34" s="6">
        <f t="shared" si="19"/>
        <v>1.0389610389610389</v>
      </c>
      <c r="W34" s="8">
        <f t="shared" si="3"/>
        <v>0</v>
      </c>
      <c r="X34" s="9">
        <f t="shared" si="20"/>
        <v>0</v>
      </c>
      <c r="Y34" s="8">
        <f t="shared" si="21"/>
        <v>0</v>
      </c>
      <c r="Z34" s="9">
        <f t="shared" si="13"/>
        <v>0</v>
      </c>
      <c r="AA34" s="8">
        <f t="shared" si="7"/>
        <v>0</v>
      </c>
      <c r="AB34" s="4"/>
    </row>
    <row r="35" spans="1:28" ht="12.75">
      <c r="A35" s="43"/>
      <c r="B35" s="197">
        <f>'Eingabe und Berechnung'!$B$7</f>
        <v>0</v>
      </c>
      <c r="C35" s="197">
        <f>'Eingabe und Berechnung'!$B$8</f>
        <v>0</v>
      </c>
      <c r="D35" s="197">
        <f>'Eingabe und Berechnung'!$B$9</f>
        <v>0</v>
      </c>
      <c r="E35" s="197">
        <f>'Eingabe und Berechnung'!$B$10</f>
        <v>0</v>
      </c>
      <c r="F35" s="197">
        <f>'Eingabe und Berechnung'!$B$11</f>
        <v>0</v>
      </c>
      <c r="G35" s="197">
        <f>'Eingabe und Berechnung'!$B$12</f>
        <v>0</v>
      </c>
      <c r="H35" s="197">
        <f>'Eingabe und Berechnung'!$B$13</f>
        <v>0</v>
      </c>
      <c r="I35" s="197">
        <f>'Eingabe und Berechnung'!$B$14</f>
        <v>0</v>
      </c>
      <c r="J35" s="197">
        <f>'Eingabe und Berechnung'!$B$15</f>
        <v>0</v>
      </c>
      <c r="K35" s="198">
        <f>'Eingabe und Berechnung'!$B$16</f>
        <v>0</v>
      </c>
      <c r="S35" s="4" t="str">
        <f>$A$15</f>
        <v>RM_0,35</v>
      </c>
      <c r="T35" s="3" t="str">
        <f t="shared" si="17"/>
        <v>RMO</v>
      </c>
      <c r="U35" s="8">
        <f t="shared" si="18"/>
        <v>0</v>
      </c>
      <c r="V35" s="6">
        <f t="shared" si="19"/>
        <v>0.8556149732620321</v>
      </c>
      <c r="W35" s="8">
        <f t="shared" si="3"/>
        <v>0</v>
      </c>
      <c r="X35" s="9">
        <f t="shared" si="20"/>
        <v>0</v>
      </c>
      <c r="Y35" s="8">
        <f t="shared" si="21"/>
        <v>0</v>
      </c>
      <c r="Z35" s="9">
        <f t="shared" si="13"/>
        <v>0</v>
      </c>
      <c r="AA35" s="8">
        <f t="shared" si="7"/>
        <v>0</v>
      </c>
      <c r="AB35" s="4"/>
    </row>
    <row r="36" spans="1:28" ht="12.75">
      <c r="A36" s="25" t="str">
        <f aca="true" t="shared" si="23" ref="A36:A45">A7</f>
        <v>FMO</v>
      </c>
      <c r="B36" s="27">
        <f>B$35/B7</f>
        <v>0</v>
      </c>
      <c r="C36" s="27">
        <f aca="true" t="shared" si="24" ref="C36:H36">C$35/C7</f>
        <v>0</v>
      </c>
      <c r="D36" s="27">
        <f t="shared" si="24"/>
        <v>0</v>
      </c>
      <c r="E36" s="27">
        <f t="shared" si="24"/>
        <v>0</v>
      </c>
      <c r="F36" s="27">
        <f t="shared" si="24"/>
        <v>0</v>
      </c>
      <c r="G36" s="27">
        <f t="shared" si="24"/>
        <v>0</v>
      </c>
      <c r="H36" s="27">
        <f t="shared" si="24"/>
        <v>0</v>
      </c>
      <c r="I36" s="27">
        <f aca="true" t="shared" si="25" ref="I36:K45">I$35/I7</f>
        <v>0</v>
      </c>
      <c r="J36" s="27">
        <f t="shared" si="25"/>
        <v>0</v>
      </c>
      <c r="K36" s="31">
        <f t="shared" si="25"/>
        <v>0</v>
      </c>
      <c r="S36" s="4" t="str">
        <f>$A$16</f>
        <v>Srm_0,35</v>
      </c>
      <c r="T36" s="3" t="str">
        <f t="shared" si="17"/>
        <v>RMO</v>
      </c>
      <c r="U36" s="8">
        <f t="shared" si="18"/>
        <v>0</v>
      </c>
      <c r="V36" s="6">
        <f t="shared" si="19"/>
        <v>1.4545454545454546</v>
      </c>
      <c r="W36" s="8">
        <f t="shared" si="3"/>
        <v>0</v>
      </c>
      <c r="X36" s="9">
        <f t="shared" si="20"/>
        <v>0</v>
      </c>
      <c r="Y36" s="8">
        <f t="shared" si="21"/>
        <v>0</v>
      </c>
      <c r="Z36" s="9">
        <f t="shared" si="13"/>
        <v>0</v>
      </c>
      <c r="AA36" s="8">
        <f t="shared" si="7"/>
        <v>0</v>
      </c>
      <c r="AB36" s="4"/>
    </row>
    <row r="37" spans="1:28" ht="12.75">
      <c r="A37" s="25" t="str">
        <f t="shared" si="23"/>
        <v>FMM</v>
      </c>
      <c r="B37" s="27">
        <f>B$35/B8</f>
        <v>0</v>
      </c>
      <c r="C37" s="27">
        <f aca="true" t="shared" si="26" ref="C37:H40">C$35/C8</f>
        <v>0</v>
      </c>
      <c r="D37" s="27">
        <f t="shared" si="26"/>
        <v>0</v>
      </c>
      <c r="E37" s="27">
        <f t="shared" si="26"/>
        <v>0</v>
      </c>
      <c r="F37" s="27">
        <f t="shared" si="26"/>
        <v>0</v>
      </c>
      <c r="G37" s="27">
        <f t="shared" si="26"/>
        <v>0</v>
      </c>
      <c r="H37" s="27">
        <f t="shared" si="26"/>
        <v>0</v>
      </c>
      <c r="I37" s="27">
        <f t="shared" si="25"/>
        <v>0</v>
      </c>
      <c r="J37" s="27">
        <f t="shared" si="25"/>
        <v>0</v>
      </c>
      <c r="K37" s="31">
        <f t="shared" si="25"/>
        <v>0</v>
      </c>
      <c r="S37" s="4" t="str">
        <f>$A$7</f>
        <v>FMO</v>
      </c>
      <c r="T37" s="3" t="str">
        <f>$E$6</f>
        <v>RMM</v>
      </c>
      <c r="U37" s="8">
        <f>E$35/V37</f>
        <v>0</v>
      </c>
      <c r="V37" s="6">
        <f>E7</f>
        <v>0.5632</v>
      </c>
      <c r="W37" s="8">
        <f t="shared" si="3"/>
        <v>0</v>
      </c>
      <c r="X37" s="9">
        <f>IF(G$25=0,0,G$25/V37)</f>
        <v>0</v>
      </c>
      <c r="Y37" s="8">
        <f>E$86/V37</f>
        <v>0</v>
      </c>
      <c r="Z37" s="9">
        <f>IF(G$26=0,0,G$26/V37)</f>
        <v>0</v>
      </c>
      <c r="AA37" s="8">
        <f t="shared" si="7"/>
        <v>0</v>
      </c>
      <c r="AB37" s="4"/>
    </row>
    <row r="38" spans="1:28" ht="12.75">
      <c r="A38" s="25" t="str">
        <f t="shared" si="23"/>
        <v>RMO</v>
      </c>
      <c r="B38" s="27">
        <f>B$35/B9</f>
        <v>0</v>
      </c>
      <c r="C38" s="27">
        <f t="shared" si="26"/>
        <v>0</v>
      </c>
      <c r="D38" s="27">
        <f t="shared" si="26"/>
        <v>0</v>
      </c>
      <c r="E38" s="27">
        <f t="shared" si="26"/>
        <v>0</v>
      </c>
      <c r="F38" s="27">
        <f t="shared" si="26"/>
        <v>0</v>
      </c>
      <c r="G38" s="27">
        <f t="shared" si="26"/>
        <v>0</v>
      </c>
      <c r="H38" s="27">
        <f t="shared" si="26"/>
        <v>0</v>
      </c>
      <c r="I38" s="27">
        <f t="shared" si="25"/>
        <v>0</v>
      </c>
      <c r="J38" s="27">
        <f t="shared" si="25"/>
        <v>0</v>
      </c>
      <c r="K38" s="31">
        <f t="shared" si="25"/>
        <v>0</v>
      </c>
      <c r="S38" s="4" t="str">
        <f>$A$8</f>
        <v>FMM</v>
      </c>
      <c r="T38" s="3" t="str">
        <f aca="true" t="shared" si="27" ref="T38:T46">$E$6</f>
        <v>RMM</v>
      </c>
      <c r="U38" s="8">
        <f aca="true" t="shared" si="28" ref="U38:U46">E$35/V38</f>
        <v>0</v>
      </c>
      <c r="V38" s="6">
        <f aca="true" t="shared" si="29" ref="V38:V46">E8</f>
        <v>0.64</v>
      </c>
      <c r="W38" s="8">
        <f t="shared" si="3"/>
        <v>0</v>
      </c>
      <c r="X38" s="9">
        <f aca="true" t="shared" si="30" ref="X38:X46">IF(G$25=0,0,G$25/V38)</f>
        <v>0</v>
      </c>
      <c r="Y38" s="8">
        <f aca="true" t="shared" si="31" ref="Y38:Y46">E$86/V38</f>
        <v>0</v>
      </c>
      <c r="Z38" s="9">
        <f aca="true" t="shared" si="32" ref="Z38:Z46">IF(G$26=0,0,G$26/V38)</f>
        <v>0</v>
      </c>
      <c r="AA38" s="8">
        <f t="shared" si="7"/>
        <v>0</v>
      </c>
      <c r="AB38" s="4"/>
    </row>
    <row r="39" spans="1:28" ht="12.75">
      <c r="A39" s="25" t="str">
        <f t="shared" si="23"/>
        <v>RMM</v>
      </c>
      <c r="B39" s="27">
        <f>B$35/B10</f>
        <v>0</v>
      </c>
      <c r="C39" s="27">
        <f t="shared" si="26"/>
        <v>0</v>
      </c>
      <c r="D39" s="27">
        <f t="shared" si="26"/>
        <v>0</v>
      </c>
      <c r="E39" s="27">
        <f t="shared" si="26"/>
        <v>0</v>
      </c>
      <c r="F39" s="27">
        <f t="shared" si="26"/>
        <v>0</v>
      </c>
      <c r="G39" s="27">
        <f t="shared" si="26"/>
        <v>0</v>
      </c>
      <c r="H39" s="27">
        <f t="shared" si="26"/>
        <v>0</v>
      </c>
      <c r="I39" s="27">
        <f t="shared" si="25"/>
        <v>0</v>
      </c>
      <c r="J39" s="27">
        <f t="shared" si="25"/>
        <v>0</v>
      </c>
      <c r="K39" s="31">
        <f t="shared" si="25"/>
        <v>0</v>
      </c>
      <c r="S39" s="4" t="str">
        <f>$A$9</f>
        <v>RMO</v>
      </c>
      <c r="T39" s="3" t="str">
        <f t="shared" si="27"/>
        <v>RMM</v>
      </c>
      <c r="U39" s="8">
        <f t="shared" si="28"/>
        <v>0</v>
      </c>
      <c r="V39" s="6">
        <f t="shared" si="29"/>
        <v>0.88</v>
      </c>
      <c r="W39" s="8">
        <f aca="true" t="shared" si="33" ref="W39:W102">X39+U39</f>
        <v>0</v>
      </c>
      <c r="X39" s="9">
        <f t="shared" si="30"/>
        <v>0</v>
      </c>
      <c r="Y39" s="8">
        <f t="shared" si="31"/>
        <v>0</v>
      </c>
      <c r="Z39" s="9">
        <f t="shared" si="32"/>
        <v>0</v>
      </c>
      <c r="AA39" s="8">
        <f t="shared" si="7"/>
        <v>0</v>
      </c>
      <c r="AB39" s="4"/>
    </row>
    <row r="40" spans="1:28" ht="12.75">
      <c r="A40" s="25" t="str">
        <f t="shared" si="23"/>
        <v>Srm O</v>
      </c>
      <c r="B40" s="27">
        <f>B$35/B11</f>
        <v>0</v>
      </c>
      <c r="C40" s="27">
        <f t="shared" si="26"/>
        <v>0</v>
      </c>
      <c r="D40" s="27">
        <f t="shared" si="26"/>
        <v>0</v>
      </c>
      <c r="E40" s="27">
        <f t="shared" si="26"/>
        <v>0</v>
      </c>
      <c r="F40" s="27">
        <f t="shared" si="26"/>
        <v>0</v>
      </c>
      <c r="G40" s="27">
        <f t="shared" si="26"/>
        <v>0</v>
      </c>
      <c r="H40" s="27">
        <f t="shared" si="26"/>
        <v>0</v>
      </c>
      <c r="I40" s="27">
        <f t="shared" si="25"/>
        <v>0</v>
      </c>
      <c r="J40" s="27">
        <f t="shared" si="25"/>
        <v>0</v>
      </c>
      <c r="K40" s="31">
        <f t="shared" si="25"/>
        <v>0</v>
      </c>
      <c r="S40" s="4" t="str">
        <f>$A$10</f>
        <v>RMM</v>
      </c>
      <c r="T40" s="3" t="str">
        <f t="shared" si="27"/>
        <v>RMM</v>
      </c>
      <c r="U40" s="8">
        <f t="shared" si="28"/>
        <v>0</v>
      </c>
      <c r="V40" s="6">
        <f t="shared" si="29"/>
        <v>1</v>
      </c>
      <c r="W40" s="8">
        <f t="shared" si="33"/>
        <v>0</v>
      </c>
      <c r="X40" s="9">
        <f t="shared" si="30"/>
        <v>0</v>
      </c>
      <c r="Y40" s="8">
        <f t="shared" si="31"/>
        <v>0</v>
      </c>
      <c r="Z40" s="9">
        <f t="shared" si="32"/>
        <v>0</v>
      </c>
      <c r="AA40" s="8">
        <f t="shared" si="7"/>
        <v>0</v>
      </c>
      <c r="AB40" s="4"/>
    </row>
    <row r="41" spans="1:28" ht="12.75">
      <c r="A41" s="25" t="str">
        <f t="shared" si="23"/>
        <v>Srm M</v>
      </c>
      <c r="B41" s="27">
        <f aca="true" t="shared" si="34" ref="B41:H41">B$35/B12</f>
        <v>0</v>
      </c>
      <c r="C41" s="27">
        <f t="shared" si="34"/>
        <v>0</v>
      </c>
      <c r="D41" s="27">
        <f t="shared" si="34"/>
        <v>0</v>
      </c>
      <c r="E41" s="27">
        <f t="shared" si="34"/>
        <v>0</v>
      </c>
      <c r="F41" s="27">
        <f t="shared" si="34"/>
        <v>0</v>
      </c>
      <c r="G41" s="27">
        <f t="shared" si="34"/>
        <v>0</v>
      </c>
      <c r="H41" s="27">
        <f t="shared" si="34"/>
        <v>0</v>
      </c>
      <c r="I41" s="27">
        <f t="shared" si="25"/>
        <v>0</v>
      </c>
      <c r="J41" s="27">
        <f t="shared" si="25"/>
        <v>0</v>
      </c>
      <c r="K41" s="31">
        <f t="shared" si="25"/>
        <v>0</v>
      </c>
      <c r="S41" s="4" t="str">
        <f>$A$11</f>
        <v>Srm O</v>
      </c>
      <c r="T41" s="3" t="str">
        <f t="shared" si="27"/>
        <v>RMM</v>
      </c>
      <c r="U41" s="8">
        <f t="shared" si="28"/>
        <v>0</v>
      </c>
      <c r="V41" s="6">
        <f t="shared" si="29"/>
        <v>1.4080000000000001</v>
      </c>
      <c r="W41" s="8">
        <f t="shared" si="33"/>
        <v>0</v>
      </c>
      <c r="X41" s="9">
        <f t="shared" si="30"/>
        <v>0</v>
      </c>
      <c r="Y41" s="8">
        <f t="shared" si="31"/>
        <v>0</v>
      </c>
      <c r="Z41" s="9">
        <f t="shared" si="32"/>
        <v>0</v>
      </c>
      <c r="AA41" s="8">
        <f t="shared" si="7"/>
        <v>0</v>
      </c>
      <c r="AB41" s="4"/>
    </row>
    <row r="42" spans="1:28" ht="12.75">
      <c r="A42" s="25" t="str">
        <f t="shared" si="23"/>
        <v>AMM</v>
      </c>
      <c r="B42" s="27">
        <f aca="true" t="shared" si="35" ref="B42:H43">B$35/B13</f>
        <v>0</v>
      </c>
      <c r="C42" s="27">
        <f t="shared" si="35"/>
        <v>0</v>
      </c>
      <c r="D42" s="27">
        <f t="shared" si="35"/>
        <v>0</v>
      </c>
      <c r="E42" s="27">
        <f t="shared" si="35"/>
        <v>0</v>
      </c>
      <c r="F42" s="27">
        <f t="shared" si="35"/>
        <v>0</v>
      </c>
      <c r="G42" s="27">
        <f t="shared" si="35"/>
        <v>0</v>
      </c>
      <c r="H42" s="27">
        <f t="shared" si="35"/>
        <v>0</v>
      </c>
      <c r="I42" s="27">
        <f t="shared" si="25"/>
        <v>0</v>
      </c>
      <c r="J42" s="27">
        <f t="shared" si="25"/>
        <v>0</v>
      </c>
      <c r="K42" s="31">
        <f t="shared" si="25"/>
        <v>0</v>
      </c>
      <c r="S42" s="4" t="str">
        <f>$A$12</f>
        <v>Srm M</v>
      </c>
      <c r="T42" s="3" t="str">
        <f t="shared" si="27"/>
        <v>RMM</v>
      </c>
      <c r="U42" s="8">
        <f t="shared" si="28"/>
        <v>0</v>
      </c>
      <c r="V42" s="6">
        <f t="shared" si="29"/>
        <v>1.6</v>
      </c>
      <c r="W42" s="8">
        <f t="shared" si="33"/>
        <v>0</v>
      </c>
      <c r="X42" s="9">
        <f t="shared" si="30"/>
        <v>0</v>
      </c>
      <c r="Y42" s="8">
        <f t="shared" si="31"/>
        <v>0</v>
      </c>
      <c r="Z42" s="9">
        <f t="shared" si="32"/>
        <v>0</v>
      </c>
      <c r="AA42" s="8">
        <f t="shared" si="7"/>
        <v>0</v>
      </c>
      <c r="AB42" s="4"/>
    </row>
    <row r="43" spans="1:28" ht="12.75">
      <c r="A43" s="25" t="str">
        <f t="shared" si="23"/>
        <v>RM_1,0</v>
      </c>
      <c r="B43" s="27">
        <f t="shared" si="35"/>
        <v>0</v>
      </c>
      <c r="C43" s="27">
        <f t="shared" si="35"/>
        <v>0</v>
      </c>
      <c r="D43" s="27">
        <f t="shared" si="35"/>
        <v>0</v>
      </c>
      <c r="E43" s="27">
        <f t="shared" si="35"/>
        <v>0</v>
      </c>
      <c r="F43" s="27">
        <f t="shared" si="35"/>
        <v>0</v>
      </c>
      <c r="G43" s="27">
        <f t="shared" si="35"/>
        <v>0</v>
      </c>
      <c r="H43" s="27">
        <f t="shared" si="35"/>
        <v>0</v>
      </c>
      <c r="I43" s="27">
        <f t="shared" si="25"/>
        <v>0</v>
      </c>
      <c r="J43" s="27">
        <f t="shared" si="25"/>
        <v>0</v>
      </c>
      <c r="K43" s="31">
        <f t="shared" si="25"/>
        <v>0</v>
      </c>
      <c r="S43" s="4" t="str">
        <f>$A$13</f>
        <v>AMM</v>
      </c>
      <c r="T43" s="3" t="str">
        <f t="shared" si="27"/>
        <v>RMM</v>
      </c>
      <c r="U43" s="8">
        <f t="shared" si="28"/>
        <v>0</v>
      </c>
      <c r="V43" s="6">
        <f t="shared" si="29"/>
        <v>0.26752000000000004</v>
      </c>
      <c r="W43" s="8">
        <f t="shared" si="33"/>
        <v>0</v>
      </c>
      <c r="X43" s="9">
        <f t="shared" si="30"/>
        <v>0</v>
      </c>
      <c r="Y43" s="8">
        <f t="shared" si="31"/>
        <v>0</v>
      </c>
      <c r="Z43" s="9">
        <f t="shared" si="32"/>
        <v>0</v>
      </c>
      <c r="AA43" s="8">
        <f t="shared" si="7"/>
        <v>0</v>
      </c>
      <c r="AB43" s="4"/>
    </row>
    <row r="44" spans="1:28" ht="12.75">
      <c r="A44" s="25" t="str">
        <f t="shared" si="23"/>
        <v>RM_0,35</v>
      </c>
      <c r="B44" s="27">
        <f aca="true" t="shared" si="36" ref="B44:H44">B$35/B15</f>
        <v>0</v>
      </c>
      <c r="C44" s="27">
        <f t="shared" si="36"/>
        <v>0</v>
      </c>
      <c r="D44" s="27">
        <f t="shared" si="36"/>
        <v>0</v>
      </c>
      <c r="E44" s="27">
        <f t="shared" si="36"/>
        <v>0</v>
      </c>
      <c r="F44" s="27">
        <f t="shared" si="36"/>
        <v>0</v>
      </c>
      <c r="G44" s="27">
        <f t="shared" si="36"/>
        <v>0</v>
      </c>
      <c r="H44" s="27">
        <f t="shared" si="36"/>
        <v>0</v>
      </c>
      <c r="I44" s="27">
        <f t="shared" si="25"/>
        <v>0</v>
      </c>
      <c r="J44" s="27">
        <f t="shared" si="25"/>
        <v>0</v>
      </c>
      <c r="K44" s="31">
        <f t="shared" si="25"/>
        <v>0</v>
      </c>
      <c r="S44" s="4" t="str">
        <f>$A$14</f>
        <v>RM_1,0</v>
      </c>
      <c r="T44" s="3" t="str">
        <f t="shared" si="27"/>
        <v>RMM</v>
      </c>
      <c r="U44" s="8">
        <f t="shared" si="28"/>
        <v>0</v>
      </c>
      <c r="V44" s="6">
        <f t="shared" si="29"/>
        <v>0.9142857142857143</v>
      </c>
      <c r="W44" s="8">
        <f t="shared" si="33"/>
        <v>0</v>
      </c>
      <c r="X44" s="9">
        <f t="shared" si="30"/>
        <v>0</v>
      </c>
      <c r="Y44" s="8">
        <f t="shared" si="31"/>
        <v>0</v>
      </c>
      <c r="Z44" s="9">
        <f t="shared" si="32"/>
        <v>0</v>
      </c>
      <c r="AA44" s="8">
        <f t="shared" si="7"/>
        <v>0</v>
      </c>
      <c r="AB44" s="4"/>
    </row>
    <row r="45" spans="1:28" ht="12.75">
      <c r="A45" s="32" t="str">
        <f t="shared" si="23"/>
        <v>Srm_0,35</v>
      </c>
      <c r="B45" s="33">
        <f aca="true" t="shared" si="37" ref="B45:H45">B$35/B16</f>
        <v>0</v>
      </c>
      <c r="C45" s="33">
        <f t="shared" si="37"/>
        <v>0</v>
      </c>
      <c r="D45" s="33">
        <f t="shared" si="37"/>
        <v>0</v>
      </c>
      <c r="E45" s="33">
        <f t="shared" si="37"/>
        <v>0</v>
      </c>
      <c r="F45" s="33">
        <f t="shared" si="37"/>
        <v>0</v>
      </c>
      <c r="G45" s="33">
        <f t="shared" si="37"/>
        <v>0</v>
      </c>
      <c r="H45" s="33">
        <f t="shared" si="37"/>
        <v>0</v>
      </c>
      <c r="I45" s="33">
        <f t="shared" si="25"/>
        <v>0</v>
      </c>
      <c r="J45" s="33">
        <f t="shared" si="25"/>
        <v>0</v>
      </c>
      <c r="K45" s="34">
        <f t="shared" si="25"/>
        <v>0</v>
      </c>
      <c r="S45" s="4" t="str">
        <f>$A$15</f>
        <v>RM_0,35</v>
      </c>
      <c r="T45" s="3" t="str">
        <f t="shared" si="27"/>
        <v>RMM</v>
      </c>
      <c r="U45" s="8">
        <f t="shared" si="28"/>
        <v>0</v>
      </c>
      <c r="V45" s="6">
        <f t="shared" si="29"/>
        <v>0.7529411764705882</v>
      </c>
      <c r="W45" s="8">
        <f t="shared" si="33"/>
        <v>0</v>
      </c>
      <c r="X45" s="9">
        <f t="shared" si="30"/>
        <v>0</v>
      </c>
      <c r="Y45" s="8">
        <f t="shared" si="31"/>
        <v>0</v>
      </c>
      <c r="Z45" s="9">
        <f t="shared" si="32"/>
        <v>0</v>
      </c>
      <c r="AA45" s="8">
        <f t="shared" si="7"/>
        <v>0</v>
      </c>
      <c r="AB45" s="4"/>
    </row>
    <row r="46" spans="19:28" ht="12.75">
      <c r="S46" s="4" t="str">
        <f>$A$16</f>
        <v>Srm_0,35</v>
      </c>
      <c r="T46" s="3" t="str">
        <f t="shared" si="27"/>
        <v>RMM</v>
      </c>
      <c r="U46" s="8">
        <f t="shared" si="28"/>
        <v>0</v>
      </c>
      <c r="V46" s="6">
        <f t="shared" si="29"/>
        <v>1.28</v>
      </c>
      <c r="W46" s="8">
        <f t="shared" si="33"/>
        <v>0</v>
      </c>
      <c r="X46" s="9">
        <f t="shared" si="30"/>
        <v>0</v>
      </c>
      <c r="Y46" s="8">
        <f t="shared" si="31"/>
        <v>0</v>
      </c>
      <c r="Z46" s="9">
        <f t="shared" si="32"/>
        <v>0</v>
      </c>
      <c r="AA46" s="8">
        <f t="shared" si="7"/>
        <v>0</v>
      </c>
      <c r="AB46" s="4"/>
    </row>
    <row r="47" spans="19:28" ht="12.75">
      <c r="S47" s="4" t="str">
        <f>$A$7</f>
        <v>FMO</v>
      </c>
      <c r="T47" s="3" t="str">
        <f>$F$6</f>
        <v>Srm O</v>
      </c>
      <c r="U47" s="8">
        <f>F$35/V47</f>
        <v>0</v>
      </c>
      <c r="V47" s="6">
        <f>F7</f>
        <v>0.4</v>
      </c>
      <c r="W47" s="8">
        <f t="shared" si="33"/>
        <v>0</v>
      </c>
      <c r="X47" s="9">
        <f>IF(H$25=0,0,H$25/V47)</f>
        <v>0</v>
      </c>
      <c r="Y47" s="8">
        <f>F$86/V47</f>
        <v>0</v>
      </c>
      <c r="Z47" s="9">
        <f>IF(H$26=0,0,H$26/V47)</f>
        <v>0</v>
      </c>
      <c r="AA47" s="8">
        <f t="shared" si="7"/>
        <v>0</v>
      </c>
      <c r="AB47" s="4"/>
    </row>
    <row r="48" spans="19:28" ht="12.75">
      <c r="S48" s="4" t="str">
        <f>$A$8</f>
        <v>FMM</v>
      </c>
      <c r="T48" s="3" t="str">
        <f aca="true" t="shared" si="38" ref="T48:T56">$F$6</f>
        <v>Srm O</v>
      </c>
      <c r="U48" s="8">
        <f aca="true" t="shared" si="39" ref="U48:U56">F$35/V48</f>
        <v>0</v>
      </c>
      <c r="V48" s="6">
        <f aca="true" t="shared" si="40" ref="V48:V56">F8</f>
        <v>0.4545454545454546</v>
      </c>
      <c r="W48" s="8">
        <f t="shared" si="33"/>
        <v>0</v>
      </c>
      <c r="X48" s="9">
        <f aca="true" t="shared" si="41" ref="X48:X56">IF(H$25=0,0,H$25/V48)</f>
        <v>0</v>
      </c>
      <c r="Y48" s="8">
        <f aca="true" t="shared" si="42" ref="Y48:Y56">F$86/V48</f>
        <v>0</v>
      </c>
      <c r="Z48" s="9">
        <f aca="true" t="shared" si="43" ref="Z48:Z56">IF(H$26=0,0,H$26/V48)</f>
        <v>0</v>
      </c>
      <c r="AA48" s="8">
        <f t="shared" si="7"/>
        <v>0</v>
      </c>
      <c r="AB48" s="4"/>
    </row>
    <row r="49" spans="1:28" ht="12.75">
      <c r="A49" s="244" t="s">
        <v>88</v>
      </c>
      <c r="B49" s="14"/>
      <c r="C49" s="14"/>
      <c r="D49" s="14"/>
      <c r="E49" s="14"/>
      <c r="F49" s="14"/>
      <c r="G49" s="14"/>
      <c r="H49" s="14"/>
      <c r="I49" s="14"/>
      <c r="J49" s="14"/>
      <c r="K49" s="24"/>
      <c r="S49" s="4" t="str">
        <f>$A$9</f>
        <v>RMO</v>
      </c>
      <c r="T49" s="3" t="str">
        <f t="shared" si="38"/>
        <v>Srm O</v>
      </c>
      <c r="U49" s="8">
        <f t="shared" si="39"/>
        <v>0</v>
      </c>
      <c r="V49" s="6">
        <f t="shared" si="40"/>
        <v>0.625</v>
      </c>
      <c r="W49" s="8">
        <f t="shared" si="33"/>
        <v>0</v>
      </c>
      <c r="X49" s="9">
        <f t="shared" si="41"/>
        <v>0</v>
      </c>
      <c r="Y49" s="8">
        <f t="shared" si="42"/>
        <v>0</v>
      </c>
      <c r="Z49" s="9">
        <f t="shared" si="43"/>
        <v>0</v>
      </c>
      <c r="AA49" s="8">
        <f t="shared" si="7"/>
        <v>0</v>
      </c>
      <c r="AB49" s="4"/>
    </row>
    <row r="50" spans="1:28" ht="12.75">
      <c r="A50" s="25"/>
      <c r="B50" s="29" t="str">
        <f>B6</f>
        <v>FMO</v>
      </c>
      <c r="C50" s="29" t="str">
        <f aca="true" t="shared" si="44" ref="C50:K50">C6</f>
        <v>FMM</v>
      </c>
      <c r="D50" s="29" t="str">
        <f t="shared" si="44"/>
        <v>RMO</v>
      </c>
      <c r="E50" s="29" t="str">
        <f t="shared" si="44"/>
        <v>RMM</v>
      </c>
      <c r="F50" s="29" t="str">
        <f t="shared" si="44"/>
        <v>Srm O</v>
      </c>
      <c r="G50" s="29" t="str">
        <f t="shared" si="44"/>
        <v>Srm M</v>
      </c>
      <c r="H50" s="29" t="str">
        <f t="shared" si="44"/>
        <v>AMM</v>
      </c>
      <c r="I50" s="29" t="str">
        <f t="shared" si="44"/>
        <v>RM_1,0</v>
      </c>
      <c r="J50" s="29" t="str">
        <f t="shared" si="44"/>
        <v>RM_0,35</v>
      </c>
      <c r="K50" s="30" t="str">
        <f t="shared" si="44"/>
        <v>Srm_0,35</v>
      </c>
      <c r="S50" s="4" t="str">
        <f>$A$10</f>
        <v>RMM</v>
      </c>
      <c r="T50" s="3" t="str">
        <f t="shared" si="38"/>
        <v>Srm O</v>
      </c>
      <c r="U50" s="8">
        <f t="shared" si="39"/>
        <v>0</v>
      </c>
      <c r="V50" s="6">
        <f t="shared" si="40"/>
        <v>0.7102272727272727</v>
      </c>
      <c r="W50" s="8">
        <f t="shared" si="33"/>
        <v>0</v>
      </c>
      <c r="X50" s="9">
        <f t="shared" si="41"/>
        <v>0</v>
      </c>
      <c r="Y50" s="8">
        <f t="shared" si="42"/>
        <v>0</v>
      </c>
      <c r="Z50" s="9">
        <f t="shared" si="43"/>
        <v>0</v>
      </c>
      <c r="AA50" s="8">
        <f t="shared" si="7"/>
        <v>0</v>
      </c>
      <c r="AB50" s="4"/>
    </row>
    <row r="51" spans="1:28" ht="12.75">
      <c r="A51" s="25" t="str">
        <f>A7</f>
        <v>FMO</v>
      </c>
      <c r="B51" s="27">
        <f aca="true" t="shared" si="45" ref="B51:B60">IF(D$25=0,0,D$25/B7)</f>
        <v>0</v>
      </c>
      <c r="C51" s="27">
        <f aca="true" t="shared" si="46" ref="C51:C60">IF(E$25=0,0,E$25/C7)</f>
        <v>0</v>
      </c>
      <c r="D51" s="27">
        <f aca="true" t="shared" si="47" ref="D51:D60">IF(F$25=0,0,F$25/D7)</f>
        <v>0</v>
      </c>
      <c r="E51" s="27">
        <f aca="true" t="shared" si="48" ref="E51:E60">IF(G$25=0,0,G$25/E7)</f>
        <v>0</v>
      </c>
      <c r="F51" s="27">
        <f aca="true" t="shared" si="49" ref="F51:F60">IF(H$25=0,0,H$25/F7)</f>
        <v>0</v>
      </c>
      <c r="G51" s="27">
        <f aca="true" t="shared" si="50" ref="G51:G60">IF(I$25=0,0,I$25/G7)</f>
        <v>0</v>
      </c>
      <c r="H51" s="27">
        <f aca="true" t="shared" si="51" ref="H51:H60">IF(J$25=0,0,J$25/H7)</f>
        <v>0</v>
      </c>
      <c r="I51" s="27">
        <f aca="true" t="shared" si="52" ref="I51:I60">IF(K$25=0,0,K$25/I7)</f>
        <v>0</v>
      </c>
      <c r="J51" s="27">
        <f aca="true" t="shared" si="53" ref="J51:J60">IF(L$25=0,0,L$25/J7)</f>
        <v>0</v>
      </c>
      <c r="K51" s="31">
        <f aca="true" t="shared" si="54" ref="K51:K60">IF(M$25=0,0,M$25/K7)</f>
        <v>0</v>
      </c>
      <c r="S51" s="4" t="str">
        <f>$A$11</f>
        <v>Srm O</v>
      </c>
      <c r="T51" s="3" t="str">
        <f t="shared" si="38"/>
        <v>Srm O</v>
      </c>
      <c r="U51" s="8">
        <f t="shared" si="39"/>
        <v>0</v>
      </c>
      <c r="V51" s="6">
        <f t="shared" si="40"/>
        <v>1</v>
      </c>
      <c r="W51" s="8">
        <f t="shared" si="33"/>
        <v>0</v>
      </c>
      <c r="X51" s="9">
        <f t="shared" si="41"/>
        <v>0</v>
      </c>
      <c r="Y51" s="8">
        <f t="shared" si="42"/>
        <v>0</v>
      </c>
      <c r="Z51" s="9">
        <f t="shared" si="43"/>
        <v>0</v>
      </c>
      <c r="AA51" s="8">
        <f t="shared" si="7"/>
        <v>0</v>
      </c>
      <c r="AB51" s="4"/>
    </row>
    <row r="52" spans="1:28" ht="12.75">
      <c r="A52" s="25" t="str">
        <f aca="true" t="shared" si="55" ref="A52:A60">A8</f>
        <v>FMM</v>
      </c>
      <c r="B52" s="27">
        <f t="shared" si="45"/>
        <v>0</v>
      </c>
      <c r="C52" s="27">
        <f t="shared" si="46"/>
        <v>0</v>
      </c>
      <c r="D52" s="27">
        <f t="shared" si="47"/>
        <v>0</v>
      </c>
      <c r="E52" s="27">
        <f t="shared" si="48"/>
        <v>0</v>
      </c>
      <c r="F52" s="27">
        <f t="shared" si="49"/>
        <v>0</v>
      </c>
      <c r="G52" s="27">
        <f t="shared" si="50"/>
        <v>0</v>
      </c>
      <c r="H52" s="27">
        <f t="shared" si="51"/>
        <v>0</v>
      </c>
      <c r="I52" s="27">
        <f t="shared" si="52"/>
        <v>0</v>
      </c>
      <c r="J52" s="27">
        <f t="shared" si="53"/>
        <v>0</v>
      </c>
      <c r="K52" s="31">
        <f t="shared" si="54"/>
        <v>0</v>
      </c>
      <c r="S52" s="4" t="str">
        <f>$A$12</f>
        <v>Srm M</v>
      </c>
      <c r="T52" s="3" t="str">
        <f t="shared" si="38"/>
        <v>Srm O</v>
      </c>
      <c r="U52" s="8">
        <f t="shared" si="39"/>
        <v>0</v>
      </c>
      <c r="V52" s="6">
        <f t="shared" si="40"/>
        <v>1.1363636363636365</v>
      </c>
      <c r="W52" s="8">
        <f t="shared" si="33"/>
        <v>0</v>
      </c>
      <c r="X52" s="9">
        <f t="shared" si="41"/>
        <v>0</v>
      </c>
      <c r="Y52" s="8">
        <f t="shared" si="42"/>
        <v>0</v>
      </c>
      <c r="Z52" s="9">
        <f t="shared" si="43"/>
        <v>0</v>
      </c>
      <c r="AA52" s="8">
        <f t="shared" si="7"/>
        <v>0</v>
      </c>
      <c r="AB52" s="4"/>
    </row>
    <row r="53" spans="1:28" ht="12.75">
      <c r="A53" s="25" t="str">
        <f t="shared" si="55"/>
        <v>RMO</v>
      </c>
      <c r="B53" s="27">
        <f t="shared" si="45"/>
        <v>0</v>
      </c>
      <c r="C53" s="27">
        <f t="shared" si="46"/>
        <v>0</v>
      </c>
      <c r="D53" s="27">
        <f t="shared" si="47"/>
        <v>0</v>
      </c>
      <c r="E53" s="27">
        <f t="shared" si="48"/>
        <v>0</v>
      </c>
      <c r="F53" s="27">
        <f t="shared" si="49"/>
        <v>0</v>
      </c>
      <c r="G53" s="27">
        <f t="shared" si="50"/>
        <v>0</v>
      </c>
      <c r="H53" s="27">
        <f t="shared" si="51"/>
        <v>0</v>
      </c>
      <c r="I53" s="27">
        <f t="shared" si="52"/>
        <v>0</v>
      </c>
      <c r="J53" s="27">
        <f t="shared" si="53"/>
        <v>0</v>
      </c>
      <c r="K53" s="31">
        <f t="shared" si="54"/>
        <v>0</v>
      </c>
      <c r="S53" s="4" t="str">
        <f>$A$13</f>
        <v>AMM</v>
      </c>
      <c r="T53" s="3" t="str">
        <f t="shared" si="38"/>
        <v>Srm O</v>
      </c>
      <c r="U53" s="8">
        <f t="shared" si="39"/>
        <v>0</v>
      </c>
      <c r="V53" s="6">
        <f t="shared" si="40"/>
        <v>0.19000000000000003</v>
      </c>
      <c r="W53" s="8">
        <f t="shared" si="33"/>
        <v>0</v>
      </c>
      <c r="X53" s="9">
        <f t="shared" si="41"/>
        <v>0</v>
      </c>
      <c r="Y53" s="8">
        <f t="shared" si="42"/>
        <v>0</v>
      </c>
      <c r="Z53" s="9">
        <f t="shared" si="43"/>
        <v>0</v>
      </c>
      <c r="AA53" s="8">
        <f t="shared" si="7"/>
        <v>0</v>
      </c>
      <c r="AB53" s="4"/>
    </row>
    <row r="54" spans="1:28" ht="12.75">
      <c r="A54" s="25" t="str">
        <f t="shared" si="55"/>
        <v>RMM</v>
      </c>
      <c r="B54" s="27">
        <f t="shared" si="45"/>
        <v>0</v>
      </c>
      <c r="C54" s="27">
        <f t="shared" si="46"/>
        <v>0</v>
      </c>
      <c r="D54" s="27">
        <f t="shared" si="47"/>
        <v>0</v>
      </c>
      <c r="E54" s="27">
        <f t="shared" si="48"/>
        <v>0</v>
      </c>
      <c r="F54" s="27">
        <f t="shared" si="49"/>
        <v>0</v>
      </c>
      <c r="G54" s="27">
        <f t="shared" si="50"/>
        <v>0</v>
      </c>
      <c r="H54" s="27">
        <f t="shared" si="51"/>
        <v>0</v>
      </c>
      <c r="I54" s="27">
        <f t="shared" si="52"/>
        <v>0</v>
      </c>
      <c r="J54" s="27">
        <f t="shared" si="53"/>
        <v>0</v>
      </c>
      <c r="K54" s="31">
        <f t="shared" si="54"/>
        <v>0</v>
      </c>
      <c r="S54" s="4" t="str">
        <f>$A$14</f>
        <v>RM_1,0</v>
      </c>
      <c r="T54" s="3" t="str">
        <f t="shared" si="38"/>
        <v>Srm O</v>
      </c>
      <c r="U54" s="8">
        <f t="shared" si="39"/>
        <v>0</v>
      </c>
      <c r="V54" s="6">
        <f t="shared" si="40"/>
        <v>0.6493506493506495</v>
      </c>
      <c r="W54" s="8">
        <f t="shared" si="33"/>
        <v>0</v>
      </c>
      <c r="X54" s="9">
        <f t="shared" si="41"/>
        <v>0</v>
      </c>
      <c r="Y54" s="8">
        <f t="shared" si="42"/>
        <v>0</v>
      </c>
      <c r="Z54" s="9">
        <f t="shared" si="43"/>
        <v>0</v>
      </c>
      <c r="AA54" s="8">
        <f t="shared" si="7"/>
        <v>0</v>
      </c>
      <c r="AB54" s="4"/>
    </row>
    <row r="55" spans="1:28" ht="12.75">
      <c r="A55" s="25" t="str">
        <f t="shared" si="55"/>
        <v>Srm O</v>
      </c>
      <c r="B55" s="27">
        <f t="shared" si="45"/>
        <v>0</v>
      </c>
      <c r="C55" s="27">
        <f t="shared" si="46"/>
        <v>0</v>
      </c>
      <c r="D55" s="27">
        <f t="shared" si="47"/>
        <v>0</v>
      </c>
      <c r="E55" s="27">
        <f t="shared" si="48"/>
        <v>0</v>
      </c>
      <c r="F55" s="27">
        <f t="shared" si="49"/>
        <v>0</v>
      </c>
      <c r="G55" s="27">
        <f t="shared" si="50"/>
        <v>0</v>
      </c>
      <c r="H55" s="27">
        <f t="shared" si="51"/>
        <v>0</v>
      </c>
      <c r="I55" s="27">
        <f t="shared" si="52"/>
        <v>0</v>
      </c>
      <c r="J55" s="27">
        <f t="shared" si="53"/>
        <v>0</v>
      </c>
      <c r="K55" s="31">
        <f t="shared" si="54"/>
        <v>0</v>
      </c>
      <c r="S55" s="4" t="str">
        <f>$A$15</f>
        <v>RM_0,35</v>
      </c>
      <c r="T55" s="3" t="str">
        <f t="shared" si="38"/>
        <v>Srm O</v>
      </c>
      <c r="U55" s="8">
        <f t="shared" si="39"/>
        <v>0</v>
      </c>
      <c r="V55" s="6">
        <f t="shared" si="40"/>
        <v>0.5347593582887701</v>
      </c>
      <c r="W55" s="8">
        <f t="shared" si="33"/>
        <v>0</v>
      </c>
      <c r="X55" s="9">
        <f t="shared" si="41"/>
        <v>0</v>
      </c>
      <c r="Y55" s="8">
        <f t="shared" si="42"/>
        <v>0</v>
      </c>
      <c r="Z55" s="9">
        <f t="shared" si="43"/>
        <v>0</v>
      </c>
      <c r="AA55" s="8">
        <f t="shared" si="7"/>
        <v>0</v>
      </c>
      <c r="AB55" s="4"/>
    </row>
    <row r="56" spans="1:28" ht="12.75">
      <c r="A56" s="25" t="str">
        <f t="shared" si="55"/>
        <v>Srm M</v>
      </c>
      <c r="B56" s="27">
        <f t="shared" si="45"/>
        <v>0</v>
      </c>
      <c r="C56" s="27">
        <f t="shared" si="46"/>
        <v>0</v>
      </c>
      <c r="D56" s="27">
        <f t="shared" si="47"/>
        <v>0</v>
      </c>
      <c r="E56" s="27">
        <f t="shared" si="48"/>
        <v>0</v>
      </c>
      <c r="F56" s="27">
        <f t="shared" si="49"/>
        <v>0</v>
      </c>
      <c r="G56" s="27">
        <f t="shared" si="50"/>
        <v>0</v>
      </c>
      <c r="H56" s="27">
        <f t="shared" si="51"/>
        <v>0</v>
      </c>
      <c r="I56" s="27">
        <f t="shared" si="52"/>
        <v>0</v>
      </c>
      <c r="J56" s="27">
        <f t="shared" si="53"/>
        <v>0</v>
      </c>
      <c r="K56" s="31">
        <f t="shared" si="54"/>
        <v>0</v>
      </c>
      <c r="S56" s="4" t="str">
        <f>$A$16</f>
        <v>Srm_0,35</v>
      </c>
      <c r="T56" s="3" t="str">
        <f t="shared" si="38"/>
        <v>Srm O</v>
      </c>
      <c r="U56" s="8">
        <f t="shared" si="39"/>
        <v>0</v>
      </c>
      <c r="V56" s="6">
        <f t="shared" si="40"/>
        <v>0.9090909090909092</v>
      </c>
      <c r="W56" s="8">
        <f t="shared" si="33"/>
        <v>0</v>
      </c>
      <c r="X56" s="9">
        <f t="shared" si="41"/>
        <v>0</v>
      </c>
      <c r="Y56" s="8">
        <f t="shared" si="42"/>
        <v>0</v>
      </c>
      <c r="Z56" s="9">
        <f t="shared" si="43"/>
        <v>0</v>
      </c>
      <c r="AA56" s="8">
        <f t="shared" si="7"/>
        <v>0</v>
      </c>
      <c r="AB56" s="4"/>
    </row>
    <row r="57" spans="1:28" ht="12.75">
      <c r="A57" s="25" t="str">
        <f t="shared" si="55"/>
        <v>AMM</v>
      </c>
      <c r="B57" s="27">
        <f t="shared" si="45"/>
        <v>0</v>
      </c>
      <c r="C57" s="27">
        <f t="shared" si="46"/>
        <v>0</v>
      </c>
      <c r="D57" s="27">
        <f t="shared" si="47"/>
        <v>0</v>
      </c>
      <c r="E57" s="27">
        <f t="shared" si="48"/>
        <v>0</v>
      </c>
      <c r="F57" s="27">
        <f t="shared" si="49"/>
        <v>0</v>
      </c>
      <c r="G57" s="27">
        <f t="shared" si="50"/>
        <v>0</v>
      </c>
      <c r="H57" s="27">
        <f t="shared" si="51"/>
        <v>0</v>
      </c>
      <c r="I57" s="27">
        <f t="shared" si="52"/>
        <v>0</v>
      </c>
      <c r="J57" s="27">
        <f t="shared" si="53"/>
        <v>0</v>
      </c>
      <c r="K57" s="31">
        <f t="shared" si="54"/>
        <v>0</v>
      </c>
      <c r="S57" s="4" t="str">
        <f>$A$7</f>
        <v>FMO</v>
      </c>
      <c r="T57" s="3" t="str">
        <f>$G$6</f>
        <v>Srm M</v>
      </c>
      <c r="U57" s="8">
        <f>G$35/V57</f>
        <v>0</v>
      </c>
      <c r="V57" s="6">
        <f>G7</f>
        <v>0.35200000000000004</v>
      </c>
      <c r="W57" s="8">
        <f t="shared" si="33"/>
        <v>0</v>
      </c>
      <c r="X57" s="9">
        <f>IF(I$25=0,0,I$25/V57)</f>
        <v>0</v>
      </c>
      <c r="Y57" s="8">
        <f>G$86/V57</f>
        <v>0</v>
      </c>
      <c r="Z57" s="9">
        <f>IF(I$26=0,0,I$26/V57)</f>
        <v>0</v>
      </c>
      <c r="AA57" s="8">
        <f t="shared" si="7"/>
        <v>0</v>
      </c>
      <c r="AB57" s="4"/>
    </row>
    <row r="58" spans="1:28" ht="12.75">
      <c r="A58" s="25" t="str">
        <f t="shared" si="55"/>
        <v>RM_1,0</v>
      </c>
      <c r="B58" s="27">
        <f t="shared" si="45"/>
        <v>0</v>
      </c>
      <c r="C58" s="27">
        <f t="shared" si="46"/>
        <v>0</v>
      </c>
      <c r="D58" s="27">
        <f t="shared" si="47"/>
        <v>0</v>
      </c>
      <c r="E58" s="27">
        <f t="shared" si="48"/>
        <v>0</v>
      </c>
      <c r="F58" s="27">
        <f t="shared" si="49"/>
        <v>0</v>
      </c>
      <c r="G58" s="27">
        <f t="shared" si="50"/>
        <v>0</v>
      </c>
      <c r="H58" s="27">
        <f t="shared" si="51"/>
        <v>0</v>
      </c>
      <c r="I58" s="27">
        <f t="shared" si="52"/>
        <v>0</v>
      </c>
      <c r="J58" s="27">
        <f t="shared" si="53"/>
        <v>0</v>
      </c>
      <c r="K58" s="31">
        <f t="shared" si="54"/>
        <v>0</v>
      </c>
      <c r="S58" s="4" t="str">
        <f>$A$8</f>
        <v>FMM</v>
      </c>
      <c r="T58" s="3" t="str">
        <f aca="true" t="shared" si="56" ref="T58:T66">$G$6</f>
        <v>Srm M</v>
      </c>
      <c r="U58" s="8">
        <f aca="true" t="shared" si="57" ref="U58:U66">G$35/V58</f>
        <v>0</v>
      </c>
      <c r="V58" s="6">
        <f aca="true" t="shared" si="58" ref="V58:V66">G8</f>
        <v>0.4</v>
      </c>
      <c r="W58" s="8">
        <f t="shared" si="33"/>
        <v>0</v>
      </c>
      <c r="X58" s="9">
        <f aca="true" t="shared" si="59" ref="X58:X66">IF(I$25=0,0,I$25/V58)</f>
        <v>0</v>
      </c>
      <c r="Y58" s="8">
        <f aca="true" t="shared" si="60" ref="Y58:Y66">G$86/V58</f>
        <v>0</v>
      </c>
      <c r="Z58" s="9">
        <f aca="true" t="shared" si="61" ref="Z58:Z66">IF(I$26=0,0,I$26/V58)</f>
        <v>0</v>
      </c>
      <c r="AA58" s="8">
        <f t="shared" si="7"/>
        <v>0</v>
      </c>
      <c r="AB58" s="4"/>
    </row>
    <row r="59" spans="1:28" ht="12.75">
      <c r="A59" s="25" t="str">
        <f t="shared" si="55"/>
        <v>RM_0,35</v>
      </c>
      <c r="B59" s="27">
        <f t="shared" si="45"/>
        <v>0</v>
      </c>
      <c r="C59" s="27">
        <f t="shared" si="46"/>
        <v>0</v>
      </c>
      <c r="D59" s="27">
        <f t="shared" si="47"/>
        <v>0</v>
      </c>
      <c r="E59" s="27">
        <f t="shared" si="48"/>
        <v>0</v>
      </c>
      <c r="F59" s="27">
        <f t="shared" si="49"/>
        <v>0</v>
      </c>
      <c r="G59" s="27">
        <f t="shared" si="50"/>
        <v>0</v>
      </c>
      <c r="H59" s="27">
        <f t="shared" si="51"/>
        <v>0</v>
      </c>
      <c r="I59" s="27">
        <f t="shared" si="52"/>
        <v>0</v>
      </c>
      <c r="J59" s="27">
        <f t="shared" si="53"/>
        <v>0</v>
      </c>
      <c r="K59" s="31">
        <f t="shared" si="54"/>
        <v>0</v>
      </c>
      <c r="S59" s="4" t="str">
        <f>$A$9</f>
        <v>RMO</v>
      </c>
      <c r="T59" s="3" t="str">
        <f t="shared" si="56"/>
        <v>Srm M</v>
      </c>
      <c r="U59" s="8">
        <f t="shared" si="57"/>
        <v>0</v>
      </c>
      <c r="V59" s="6">
        <f t="shared" si="58"/>
        <v>0.55</v>
      </c>
      <c r="W59" s="8">
        <f t="shared" si="33"/>
        <v>0</v>
      </c>
      <c r="X59" s="9">
        <f t="shared" si="59"/>
        <v>0</v>
      </c>
      <c r="Y59" s="8">
        <f t="shared" si="60"/>
        <v>0</v>
      </c>
      <c r="Z59" s="9">
        <f t="shared" si="61"/>
        <v>0</v>
      </c>
      <c r="AA59" s="8">
        <f t="shared" si="7"/>
        <v>0</v>
      </c>
      <c r="AB59" s="4"/>
    </row>
    <row r="60" spans="1:28" ht="12.75">
      <c r="A60" s="32" t="str">
        <f t="shared" si="55"/>
        <v>Srm_0,35</v>
      </c>
      <c r="B60" s="33">
        <f t="shared" si="45"/>
        <v>0</v>
      </c>
      <c r="C60" s="33">
        <f t="shared" si="46"/>
        <v>0</v>
      </c>
      <c r="D60" s="33">
        <f t="shared" si="47"/>
        <v>0</v>
      </c>
      <c r="E60" s="33">
        <f t="shared" si="48"/>
        <v>0</v>
      </c>
      <c r="F60" s="33">
        <f t="shared" si="49"/>
        <v>0</v>
      </c>
      <c r="G60" s="33">
        <f t="shared" si="50"/>
        <v>0</v>
      </c>
      <c r="H60" s="33">
        <f t="shared" si="51"/>
        <v>0</v>
      </c>
      <c r="I60" s="33">
        <f t="shared" si="52"/>
        <v>0</v>
      </c>
      <c r="J60" s="33">
        <f t="shared" si="53"/>
        <v>0</v>
      </c>
      <c r="K60" s="34">
        <f t="shared" si="54"/>
        <v>0</v>
      </c>
      <c r="S60" s="4" t="str">
        <f>$A$10</f>
        <v>RMM</v>
      </c>
      <c r="T60" s="3" t="str">
        <f t="shared" si="56"/>
        <v>Srm M</v>
      </c>
      <c r="U60" s="8">
        <f t="shared" si="57"/>
        <v>0</v>
      </c>
      <c r="V60" s="6">
        <f t="shared" si="58"/>
        <v>0.625</v>
      </c>
      <c r="W60" s="8">
        <f t="shared" si="33"/>
        <v>0</v>
      </c>
      <c r="X60" s="9">
        <f t="shared" si="59"/>
        <v>0</v>
      </c>
      <c r="Y60" s="8">
        <f t="shared" si="60"/>
        <v>0</v>
      </c>
      <c r="Z60" s="9">
        <f t="shared" si="61"/>
        <v>0</v>
      </c>
      <c r="AA60" s="8">
        <f t="shared" si="7"/>
        <v>0</v>
      </c>
      <c r="AB60" s="4"/>
    </row>
    <row r="61" spans="19:28" ht="12.75">
      <c r="S61" s="4" t="str">
        <f>$A$11</f>
        <v>Srm O</v>
      </c>
      <c r="T61" s="3" t="str">
        <f t="shared" si="56"/>
        <v>Srm M</v>
      </c>
      <c r="U61" s="8">
        <f t="shared" si="57"/>
        <v>0</v>
      </c>
      <c r="V61" s="6">
        <f t="shared" si="58"/>
        <v>0.88</v>
      </c>
      <c r="W61" s="8">
        <f t="shared" si="33"/>
        <v>0</v>
      </c>
      <c r="X61" s="9">
        <f t="shared" si="59"/>
        <v>0</v>
      </c>
      <c r="Y61" s="8">
        <f t="shared" si="60"/>
        <v>0</v>
      </c>
      <c r="Z61" s="9">
        <f t="shared" si="61"/>
        <v>0</v>
      </c>
      <c r="AA61" s="8">
        <f t="shared" si="7"/>
        <v>0</v>
      </c>
      <c r="AB61" s="4"/>
    </row>
    <row r="62" spans="19:28" ht="12.75">
      <c r="S62" s="4" t="str">
        <f>$A$12</f>
        <v>Srm M</v>
      </c>
      <c r="T62" s="3" t="str">
        <f t="shared" si="56"/>
        <v>Srm M</v>
      </c>
      <c r="U62" s="8">
        <f t="shared" si="57"/>
        <v>0</v>
      </c>
      <c r="V62" s="6">
        <f t="shared" si="58"/>
        <v>1</v>
      </c>
      <c r="W62" s="8">
        <f t="shared" si="33"/>
        <v>0</v>
      </c>
      <c r="X62" s="9">
        <f t="shared" si="59"/>
        <v>0</v>
      </c>
      <c r="Y62" s="8">
        <f t="shared" si="60"/>
        <v>0</v>
      </c>
      <c r="Z62" s="9">
        <f t="shared" si="61"/>
        <v>0</v>
      </c>
      <c r="AA62" s="8">
        <f t="shared" si="7"/>
        <v>0</v>
      </c>
      <c r="AB62" s="4"/>
    </row>
    <row r="63" spans="19:28" ht="12.75">
      <c r="S63" s="4" t="str">
        <f>$A$13</f>
        <v>AMM</v>
      </c>
      <c r="T63" s="3" t="str">
        <f t="shared" si="56"/>
        <v>Srm M</v>
      </c>
      <c r="U63" s="8">
        <f t="shared" si="57"/>
        <v>0</v>
      </c>
      <c r="V63" s="6">
        <f t="shared" si="58"/>
        <v>0.16720000000000002</v>
      </c>
      <c r="W63" s="8">
        <f t="shared" si="33"/>
        <v>0</v>
      </c>
      <c r="X63" s="9">
        <f t="shared" si="59"/>
        <v>0</v>
      </c>
      <c r="Y63" s="8">
        <f t="shared" si="60"/>
        <v>0</v>
      </c>
      <c r="Z63" s="9">
        <f t="shared" si="61"/>
        <v>0</v>
      </c>
      <c r="AA63" s="8">
        <f t="shared" si="7"/>
        <v>0</v>
      </c>
      <c r="AB63" s="4"/>
    </row>
    <row r="64" spans="1:28" ht="12.75">
      <c r="A64" s="23"/>
      <c r="B64" s="259" t="s">
        <v>92</v>
      </c>
      <c r="C64" s="14"/>
      <c r="D64" s="14"/>
      <c r="E64" s="14"/>
      <c r="F64" s="14"/>
      <c r="G64" s="14"/>
      <c r="H64" s="14"/>
      <c r="I64" s="14"/>
      <c r="J64" s="14"/>
      <c r="K64" s="24"/>
      <c r="S64" s="4" t="str">
        <f>$A$14</f>
        <v>RM_1,0</v>
      </c>
      <c r="T64" s="3" t="str">
        <f t="shared" si="56"/>
        <v>Srm M</v>
      </c>
      <c r="U64" s="8">
        <f t="shared" si="57"/>
        <v>0</v>
      </c>
      <c r="V64" s="6">
        <f t="shared" si="58"/>
        <v>0.5714285714285715</v>
      </c>
      <c r="W64" s="8">
        <f t="shared" si="33"/>
        <v>0</v>
      </c>
      <c r="X64" s="9">
        <f t="shared" si="59"/>
        <v>0</v>
      </c>
      <c r="Y64" s="8">
        <f t="shared" si="60"/>
        <v>0</v>
      </c>
      <c r="Z64" s="9">
        <f t="shared" si="61"/>
        <v>0</v>
      </c>
      <c r="AA64" s="8">
        <f t="shared" si="7"/>
        <v>0</v>
      </c>
      <c r="AB64" s="4"/>
    </row>
    <row r="65" spans="1:28" ht="12.75">
      <c r="A65" s="25"/>
      <c r="B65" s="199" t="str">
        <f>B6</f>
        <v>FMO</v>
      </c>
      <c r="C65" s="199" t="str">
        <f aca="true" t="shared" si="62" ref="C65:K65">C6</f>
        <v>FMM</v>
      </c>
      <c r="D65" s="199" t="str">
        <f t="shared" si="62"/>
        <v>RMO</v>
      </c>
      <c r="E65" s="199" t="str">
        <f t="shared" si="62"/>
        <v>RMM</v>
      </c>
      <c r="F65" s="199" t="str">
        <f t="shared" si="62"/>
        <v>Srm O</v>
      </c>
      <c r="G65" s="199" t="str">
        <f t="shared" si="62"/>
        <v>Srm M</v>
      </c>
      <c r="H65" s="199" t="str">
        <f t="shared" si="62"/>
        <v>AMM</v>
      </c>
      <c r="I65" s="199" t="str">
        <f t="shared" si="62"/>
        <v>RM_1,0</v>
      </c>
      <c r="J65" s="199" t="str">
        <f t="shared" si="62"/>
        <v>RM_0,35</v>
      </c>
      <c r="K65" s="201" t="str">
        <f t="shared" si="62"/>
        <v>Srm_0,35</v>
      </c>
      <c r="S65" s="4" t="str">
        <f>$A$15</f>
        <v>RM_0,35</v>
      </c>
      <c r="T65" s="3" t="str">
        <f t="shared" si="56"/>
        <v>Srm M</v>
      </c>
      <c r="U65" s="8">
        <f t="shared" si="57"/>
        <v>0</v>
      </c>
      <c r="V65" s="6">
        <f t="shared" si="58"/>
        <v>0.47058823529411764</v>
      </c>
      <c r="W65" s="8">
        <f t="shared" si="33"/>
        <v>0</v>
      </c>
      <c r="X65" s="9">
        <f t="shared" si="59"/>
        <v>0</v>
      </c>
      <c r="Y65" s="8">
        <f t="shared" si="60"/>
        <v>0</v>
      </c>
      <c r="Z65" s="9">
        <f t="shared" si="61"/>
        <v>0</v>
      </c>
      <c r="AA65" s="8">
        <f t="shared" si="7"/>
        <v>0</v>
      </c>
      <c r="AB65" s="4"/>
    </row>
    <row r="66" spans="1:28" ht="12.75">
      <c r="A66" s="37" t="s">
        <v>39</v>
      </c>
      <c r="B66" s="38">
        <f>'Eingabe und Berechnung'!D7</f>
        <v>0</v>
      </c>
      <c r="C66" s="38">
        <f>'Eingabe und Berechnung'!D8</f>
        <v>0</v>
      </c>
      <c r="D66" s="38">
        <f>'Eingabe und Berechnung'!D9</f>
        <v>0</v>
      </c>
      <c r="E66" s="38">
        <f>'Eingabe und Berechnung'!D10</f>
        <v>0</v>
      </c>
      <c r="F66" s="38">
        <f>'Eingabe und Berechnung'!D11</f>
        <v>0</v>
      </c>
      <c r="G66" s="38">
        <f>'Eingabe und Berechnung'!D12</f>
        <v>0</v>
      </c>
      <c r="H66" s="38">
        <f>'Eingabe und Berechnung'!$D13</f>
        <v>0</v>
      </c>
      <c r="I66" s="38">
        <f>'Eingabe und Berechnung'!$D14</f>
        <v>0</v>
      </c>
      <c r="J66" s="38">
        <f>'Eingabe und Berechnung'!$D15</f>
        <v>0</v>
      </c>
      <c r="K66" s="39">
        <f>'Eingabe und Berechnung'!$D16</f>
        <v>0</v>
      </c>
      <c r="S66" s="4" t="str">
        <f>$A$16</f>
        <v>Srm_0,35</v>
      </c>
      <c r="T66" s="3" t="str">
        <f t="shared" si="56"/>
        <v>Srm M</v>
      </c>
      <c r="U66" s="8">
        <f t="shared" si="57"/>
        <v>0</v>
      </c>
      <c r="V66" s="6">
        <f t="shared" si="58"/>
        <v>0.8</v>
      </c>
      <c r="W66" s="8">
        <f t="shared" si="33"/>
        <v>0</v>
      </c>
      <c r="X66" s="9">
        <f t="shared" si="59"/>
        <v>0</v>
      </c>
      <c r="Y66" s="8">
        <f t="shared" si="60"/>
        <v>0</v>
      </c>
      <c r="Z66" s="9">
        <f t="shared" si="61"/>
        <v>0</v>
      </c>
      <c r="AA66" s="8">
        <f t="shared" si="7"/>
        <v>0</v>
      </c>
      <c r="AB66" s="4"/>
    </row>
    <row r="67" spans="1:28" ht="12.75">
      <c r="A67" s="25" t="str">
        <f>A7</f>
        <v>FMO</v>
      </c>
      <c r="B67" s="40">
        <f aca="true" t="shared" si="63" ref="B67:H73">B51+B36</f>
        <v>0</v>
      </c>
      <c r="C67" s="27">
        <f t="shared" si="63"/>
        <v>0</v>
      </c>
      <c r="D67" s="27">
        <f t="shared" si="63"/>
        <v>0</v>
      </c>
      <c r="E67" s="27">
        <f t="shared" si="63"/>
        <v>0</v>
      </c>
      <c r="F67" s="27">
        <f t="shared" si="63"/>
        <v>0</v>
      </c>
      <c r="G67" s="27">
        <f t="shared" si="63"/>
        <v>0</v>
      </c>
      <c r="H67" s="27">
        <f t="shared" si="63"/>
        <v>0</v>
      </c>
      <c r="I67" s="27">
        <f aca="true" t="shared" si="64" ref="I67:K76">I51+I36</f>
        <v>0</v>
      </c>
      <c r="J67" s="27">
        <f t="shared" si="64"/>
        <v>0</v>
      </c>
      <c r="K67" s="31">
        <f t="shared" si="64"/>
        <v>0</v>
      </c>
      <c r="S67" s="4" t="str">
        <f>$A$7</f>
        <v>FMO</v>
      </c>
      <c r="T67" s="3" t="str">
        <f>$H$6</f>
        <v>AMM</v>
      </c>
      <c r="U67" s="8">
        <f>H$35/V67</f>
        <v>0</v>
      </c>
      <c r="V67" s="6">
        <f>H7</f>
        <v>2.1052631578947367</v>
      </c>
      <c r="W67" s="8">
        <f t="shared" si="33"/>
        <v>0</v>
      </c>
      <c r="X67" s="9">
        <f>IF(J$25=0,0,J$25/V67)</f>
        <v>0</v>
      </c>
      <c r="Y67" s="8">
        <f>H$86/V67</f>
        <v>0</v>
      </c>
      <c r="Z67" s="9">
        <f>IF(J$26=0,0,J$26/V67)</f>
        <v>0</v>
      </c>
      <c r="AA67" s="8">
        <f t="shared" si="7"/>
        <v>0</v>
      </c>
      <c r="AB67" s="4"/>
    </row>
    <row r="68" spans="1:28" ht="12.75">
      <c r="A68" s="25" t="str">
        <f aca="true" t="shared" si="65" ref="A68:A76">A8</f>
        <v>FMM</v>
      </c>
      <c r="B68" s="27">
        <f t="shared" si="63"/>
        <v>0</v>
      </c>
      <c r="C68" s="40">
        <f t="shared" si="63"/>
        <v>0</v>
      </c>
      <c r="D68" s="27">
        <f t="shared" si="63"/>
        <v>0</v>
      </c>
      <c r="E68" s="27">
        <f t="shared" si="63"/>
        <v>0</v>
      </c>
      <c r="F68" s="27">
        <f t="shared" si="63"/>
        <v>0</v>
      </c>
      <c r="G68" s="27">
        <f t="shared" si="63"/>
        <v>0</v>
      </c>
      <c r="H68" s="27">
        <f t="shared" si="63"/>
        <v>0</v>
      </c>
      <c r="I68" s="27">
        <f t="shared" si="64"/>
        <v>0</v>
      </c>
      <c r="J68" s="27">
        <f t="shared" si="64"/>
        <v>0</v>
      </c>
      <c r="K68" s="31">
        <f t="shared" si="64"/>
        <v>0</v>
      </c>
      <c r="S68" s="4" t="str">
        <f>$A$8</f>
        <v>FMM</v>
      </c>
      <c r="T68" s="3" t="str">
        <f aca="true" t="shared" si="66" ref="T68:T76">$H$6</f>
        <v>AMM</v>
      </c>
      <c r="U68" s="8">
        <f aca="true" t="shared" si="67" ref="U68:U76">H$35/V68</f>
        <v>0</v>
      </c>
      <c r="V68" s="6">
        <f aca="true" t="shared" si="68" ref="V68:V76">H8</f>
        <v>2.3923444976076556</v>
      </c>
      <c r="W68" s="8">
        <f t="shared" si="33"/>
        <v>0</v>
      </c>
      <c r="X68" s="9">
        <f aca="true" t="shared" si="69" ref="X68:X76">IF(J$25=0,0,J$25/V68)</f>
        <v>0</v>
      </c>
      <c r="Y68" s="8">
        <f aca="true" t="shared" si="70" ref="Y68:Y76">H$86/V68</f>
        <v>0</v>
      </c>
      <c r="Z68" s="9">
        <f aca="true" t="shared" si="71" ref="Z68:Z76">IF(J$26=0,0,J$26/V68)</f>
        <v>0</v>
      </c>
      <c r="AA68" s="8">
        <f t="shared" si="7"/>
        <v>0</v>
      </c>
      <c r="AB68" s="4"/>
    </row>
    <row r="69" spans="1:28" ht="12.75">
      <c r="A69" s="25" t="str">
        <f t="shared" si="65"/>
        <v>RMO</v>
      </c>
      <c r="B69" s="27">
        <f t="shared" si="63"/>
        <v>0</v>
      </c>
      <c r="C69" s="27">
        <f t="shared" si="63"/>
        <v>0</v>
      </c>
      <c r="D69" s="40">
        <f t="shared" si="63"/>
        <v>0</v>
      </c>
      <c r="E69" s="27">
        <f t="shared" si="63"/>
        <v>0</v>
      </c>
      <c r="F69" s="27">
        <f t="shared" si="63"/>
        <v>0</v>
      </c>
      <c r="G69" s="27">
        <f t="shared" si="63"/>
        <v>0</v>
      </c>
      <c r="H69" s="27">
        <f t="shared" si="63"/>
        <v>0</v>
      </c>
      <c r="I69" s="27">
        <f t="shared" si="64"/>
        <v>0</v>
      </c>
      <c r="J69" s="27">
        <f t="shared" si="64"/>
        <v>0</v>
      </c>
      <c r="K69" s="31">
        <f t="shared" si="64"/>
        <v>0</v>
      </c>
      <c r="S69" s="4" t="str">
        <f>$A$9</f>
        <v>RMO</v>
      </c>
      <c r="T69" s="3" t="str">
        <f t="shared" si="66"/>
        <v>AMM</v>
      </c>
      <c r="U69" s="8">
        <f t="shared" si="67"/>
        <v>0</v>
      </c>
      <c r="V69" s="6">
        <f t="shared" si="68"/>
        <v>3.289473684210526</v>
      </c>
      <c r="W69" s="8">
        <f t="shared" si="33"/>
        <v>0</v>
      </c>
      <c r="X69" s="9">
        <f t="shared" si="69"/>
        <v>0</v>
      </c>
      <c r="Y69" s="8">
        <f t="shared" si="70"/>
        <v>0</v>
      </c>
      <c r="Z69" s="9">
        <f t="shared" si="71"/>
        <v>0</v>
      </c>
      <c r="AA69" s="8">
        <f t="shared" si="7"/>
        <v>0</v>
      </c>
      <c r="AB69" s="4"/>
    </row>
    <row r="70" spans="1:28" ht="12.75">
      <c r="A70" s="25" t="str">
        <f t="shared" si="65"/>
        <v>RMM</v>
      </c>
      <c r="B70" s="27">
        <f t="shared" si="63"/>
        <v>0</v>
      </c>
      <c r="C70" s="27">
        <f t="shared" si="63"/>
        <v>0</v>
      </c>
      <c r="D70" s="27">
        <f t="shared" si="63"/>
        <v>0</v>
      </c>
      <c r="E70" s="40">
        <f t="shared" si="63"/>
        <v>0</v>
      </c>
      <c r="F70" s="27">
        <f t="shared" si="63"/>
        <v>0</v>
      </c>
      <c r="G70" s="27">
        <f t="shared" si="63"/>
        <v>0</v>
      </c>
      <c r="H70" s="27">
        <f t="shared" si="63"/>
        <v>0</v>
      </c>
      <c r="I70" s="27">
        <f t="shared" si="64"/>
        <v>0</v>
      </c>
      <c r="J70" s="27">
        <f t="shared" si="64"/>
        <v>0</v>
      </c>
      <c r="K70" s="31">
        <f t="shared" si="64"/>
        <v>0</v>
      </c>
      <c r="S70" s="4" t="str">
        <f>$A$10</f>
        <v>RMM</v>
      </c>
      <c r="T70" s="3" t="str">
        <f t="shared" si="66"/>
        <v>AMM</v>
      </c>
      <c r="U70" s="8">
        <f t="shared" si="67"/>
        <v>0</v>
      </c>
      <c r="V70" s="6">
        <f t="shared" si="68"/>
        <v>3.7380382775119614</v>
      </c>
      <c r="W70" s="8">
        <f t="shared" si="33"/>
        <v>0</v>
      </c>
      <c r="X70" s="9">
        <f t="shared" si="69"/>
        <v>0</v>
      </c>
      <c r="Y70" s="8">
        <f t="shared" si="70"/>
        <v>0</v>
      </c>
      <c r="Z70" s="9">
        <f t="shared" si="71"/>
        <v>0</v>
      </c>
      <c r="AA70" s="8">
        <f t="shared" si="7"/>
        <v>0</v>
      </c>
      <c r="AB70" s="4"/>
    </row>
    <row r="71" spans="1:28" ht="12.75">
      <c r="A71" s="25" t="str">
        <f t="shared" si="65"/>
        <v>Srm O</v>
      </c>
      <c r="B71" s="27">
        <f t="shared" si="63"/>
        <v>0</v>
      </c>
      <c r="C71" s="27">
        <f t="shared" si="63"/>
        <v>0</v>
      </c>
      <c r="D71" s="27">
        <f t="shared" si="63"/>
        <v>0</v>
      </c>
      <c r="E71" s="27">
        <f t="shared" si="63"/>
        <v>0</v>
      </c>
      <c r="F71" s="40">
        <f t="shared" si="63"/>
        <v>0</v>
      </c>
      <c r="G71" s="27">
        <f t="shared" si="63"/>
        <v>0</v>
      </c>
      <c r="H71" s="27">
        <f t="shared" si="63"/>
        <v>0</v>
      </c>
      <c r="I71" s="27">
        <f t="shared" si="64"/>
        <v>0</v>
      </c>
      <c r="J71" s="27">
        <f t="shared" si="64"/>
        <v>0</v>
      </c>
      <c r="K71" s="31">
        <f t="shared" si="64"/>
        <v>0</v>
      </c>
      <c r="S71" s="4" t="str">
        <f>$A$11</f>
        <v>Srm O</v>
      </c>
      <c r="T71" s="3" t="str">
        <f t="shared" si="66"/>
        <v>AMM</v>
      </c>
      <c r="U71" s="8">
        <f t="shared" si="67"/>
        <v>0</v>
      </c>
      <c r="V71" s="6">
        <f t="shared" si="68"/>
        <v>5.263157894736842</v>
      </c>
      <c r="W71" s="8">
        <f t="shared" si="33"/>
        <v>0</v>
      </c>
      <c r="X71" s="9">
        <f t="shared" si="69"/>
        <v>0</v>
      </c>
      <c r="Y71" s="8">
        <f t="shared" si="70"/>
        <v>0</v>
      </c>
      <c r="Z71" s="9">
        <f t="shared" si="71"/>
        <v>0</v>
      </c>
      <c r="AA71" s="8">
        <f t="shared" si="7"/>
        <v>0</v>
      </c>
      <c r="AB71" s="4"/>
    </row>
    <row r="72" spans="1:28" ht="12.75">
      <c r="A72" s="25" t="str">
        <f t="shared" si="65"/>
        <v>Srm M</v>
      </c>
      <c r="B72" s="27">
        <f t="shared" si="63"/>
        <v>0</v>
      </c>
      <c r="C72" s="27">
        <f t="shared" si="63"/>
        <v>0</v>
      </c>
      <c r="D72" s="27">
        <f t="shared" si="63"/>
        <v>0</v>
      </c>
      <c r="E72" s="27">
        <f t="shared" si="63"/>
        <v>0</v>
      </c>
      <c r="F72" s="27">
        <f t="shared" si="63"/>
        <v>0</v>
      </c>
      <c r="G72" s="40">
        <f t="shared" si="63"/>
        <v>0</v>
      </c>
      <c r="H72" s="27">
        <f t="shared" si="63"/>
        <v>0</v>
      </c>
      <c r="I72" s="27">
        <f t="shared" si="64"/>
        <v>0</v>
      </c>
      <c r="J72" s="27">
        <f t="shared" si="64"/>
        <v>0</v>
      </c>
      <c r="K72" s="31">
        <f t="shared" si="64"/>
        <v>0</v>
      </c>
      <c r="S72" s="4" t="str">
        <f>$A$12</f>
        <v>Srm M</v>
      </c>
      <c r="T72" s="3" t="str">
        <f t="shared" si="66"/>
        <v>AMM</v>
      </c>
      <c r="U72" s="8">
        <f t="shared" si="67"/>
        <v>0</v>
      </c>
      <c r="V72" s="6">
        <f t="shared" si="68"/>
        <v>5.980861244019138</v>
      </c>
      <c r="W72" s="8">
        <f t="shared" si="33"/>
        <v>0</v>
      </c>
      <c r="X72" s="9">
        <f t="shared" si="69"/>
        <v>0</v>
      </c>
      <c r="Y72" s="8">
        <f t="shared" si="70"/>
        <v>0</v>
      </c>
      <c r="Z72" s="9">
        <f t="shared" si="71"/>
        <v>0</v>
      </c>
      <c r="AA72" s="8">
        <f aca="true" t="shared" si="72" ref="AA72:AA106">U72-Z72</f>
        <v>0</v>
      </c>
      <c r="AB72" s="4"/>
    </row>
    <row r="73" spans="1:28" ht="12.75">
      <c r="A73" s="25" t="str">
        <f t="shared" si="65"/>
        <v>AMM</v>
      </c>
      <c r="B73" s="27">
        <f t="shared" si="63"/>
        <v>0</v>
      </c>
      <c r="C73" s="27">
        <f t="shared" si="63"/>
        <v>0</v>
      </c>
      <c r="D73" s="27">
        <f t="shared" si="63"/>
        <v>0</v>
      </c>
      <c r="E73" s="27">
        <f t="shared" si="63"/>
        <v>0</v>
      </c>
      <c r="F73" s="27">
        <f t="shared" si="63"/>
        <v>0</v>
      </c>
      <c r="G73" s="27">
        <f t="shared" si="63"/>
        <v>0</v>
      </c>
      <c r="H73" s="40">
        <f t="shared" si="63"/>
        <v>0</v>
      </c>
      <c r="I73" s="200">
        <f t="shared" si="64"/>
        <v>0</v>
      </c>
      <c r="J73" s="200">
        <f t="shared" si="64"/>
        <v>0</v>
      </c>
      <c r="K73" s="202">
        <f t="shared" si="64"/>
        <v>0</v>
      </c>
      <c r="S73" s="4" t="str">
        <f>$A$13</f>
        <v>AMM</v>
      </c>
      <c r="T73" s="3" t="str">
        <f t="shared" si="66"/>
        <v>AMM</v>
      </c>
      <c r="U73" s="8">
        <f t="shared" si="67"/>
        <v>0</v>
      </c>
      <c r="V73" s="6">
        <f t="shared" si="68"/>
        <v>1</v>
      </c>
      <c r="W73" s="8">
        <f t="shared" si="33"/>
        <v>0</v>
      </c>
      <c r="X73" s="9">
        <f t="shared" si="69"/>
        <v>0</v>
      </c>
      <c r="Y73" s="8">
        <f t="shared" si="70"/>
        <v>0</v>
      </c>
      <c r="Z73" s="9">
        <f t="shared" si="71"/>
        <v>0</v>
      </c>
      <c r="AA73" s="8">
        <f t="shared" si="72"/>
        <v>0</v>
      </c>
      <c r="AB73" s="4"/>
    </row>
    <row r="74" spans="1:28" ht="12.75">
      <c r="A74" s="25" t="str">
        <f t="shared" si="65"/>
        <v>RM_1,0</v>
      </c>
      <c r="B74" s="27">
        <f aca="true" t="shared" si="73" ref="B74:H74">B58+B43</f>
        <v>0</v>
      </c>
      <c r="C74" s="27">
        <f t="shared" si="73"/>
        <v>0</v>
      </c>
      <c r="D74" s="27">
        <f t="shared" si="73"/>
        <v>0</v>
      </c>
      <c r="E74" s="27">
        <f t="shared" si="73"/>
        <v>0</v>
      </c>
      <c r="F74" s="27">
        <f t="shared" si="73"/>
        <v>0</v>
      </c>
      <c r="G74" s="27">
        <f t="shared" si="73"/>
        <v>0</v>
      </c>
      <c r="H74" s="200">
        <f t="shared" si="73"/>
        <v>0</v>
      </c>
      <c r="I74" s="40">
        <f t="shared" si="64"/>
        <v>0</v>
      </c>
      <c r="J74" s="200">
        <f t="shared" si="64"/>
        <v>0</v>
      </c>
      <c r="K74" s="202">
        <f t="shared" si="64"/>
        <v>0</v>
      </c>
      <c r="S74" s="4" t="str">
        <f>$A$14</f>
        <v>RM_1,0</v>
      </c>
      <c r="T74" s="3" t="str">
        <f t="shared" si="66"/>
        <v>AMM</v>
      </c>
      <c r="U74" s="8">
        <f t="shared" si="67"/>
        <v>0</v>
      </c>
      <c r="V74" s="6">
        <f t="shared" si="68"/>
        <v>3.417634996582365</v>
      </c>
      <c r="W74" s="8">
        <f t="shared" si="33"/>
        <v>0</v>
      </c>
      <c r="X74" s="9">
        <f t="shared" si="69"/>
        <v>0</v>
      </c>
      <c r="Y74" s="8">
        <f t="shared" si="70"/>
        <v>0</v>
      </c>
      <c r="Z74" s="9">
        <f t="shared" si="71"/>
        <v>0</v>
      </c>
      <c r="AA74" s="8">
        <f t="shared" si="72"/>
        <v>0</v>
      </c>
      <c r="AB74" s="4"/>
    </row>
    <row r="75" spans="1:28" ht="12.75">
      <c r="A75" s="25" t="str">
        <f t="shared" si="65"/>
        <v>RM_0,35</v>
      </c>
      <c r="B75" s="27">
        <f aca="true" t="shared" si="74" ref="B75:H75">B59+B44</f>
        <v>0</v>
      </c>
      <c r="C75" s="27">
        <f t="shared" si="74"/>
        <v>0</v>
      </c>
      <c r="D75" s="27">
        <f t="shared" si="74"/>
        <v>0</v>
      </c>
      <c r="E75" s="27">
        <f t="shared" si="74"/>
        <v>0</v>
      </c>
      <c r="F75" s="27">
        <f t="shared" si="74"/>
        <v>0</v>
      </c>
      <c r="G75" s="27">
        <f t="shared" si="74"/>
        <v>0</v>
      </c>
      <c r="H75" s="200">
        <f t="shared" si="74"/>
        <v>0</v>
      </c>
      <c r="I75" s="200">
        <f t="shared" si="64"/>
        <v>0</v>
      </c>
      <c r="J75" s="40">
        <f t="shared" si="64"/>
        <v>0</v>
      </c>
      <c r="K75" s="202">
        <f t="shared" si="64"/>
        <v>0</v>
      </c>
      <c r="S75" s="4" t="str">
        <f>$A$15</f>
        <v>RM_0,35</v>
      </c>
      <c r="T75" s="3" t="str">
        <f t="shared" si="66"/>
        <v>AMM</v>
      </c>
      <c r="U75" s="8">
        <f t="shared" si="67"/>
        <v>0</v>
      </c>
      <c r="V75" s="6">
        <f t="shared" si="68"/>
        <v>2.8145229383619474</v>
      </c>
      <c r="W75" s="8">
        <f t="shared" si="33"/>
        <v>0</v>
      </c>
      <c r="X75" s="9">
        <f t="shared" si="69"/>
        <v>0</v>
      </c>
      <c r="Y75" s="8">
        <f t="shared" si="70"/>
        <v>0</v>
      </c>
      <c r="Z75" s="9">
        <f t="shared" si="71"/>
        <v>0</v>
      </c>
      <c r="AA75" s="8">
        <f t="shared" si="72"/>
        <v>0</v>
      </c>
      <c r="AB75" s="4"/>
    </row>
    <row r="76" spans="1:28" ht="12.75">
      <c r="A76" s="32" t="str">
        <f t="shared" si="65"/>
        <v>Srm_0,35</v>
      </c>
      <c r="B76" s="33">
        <f aca="true" t="shared" si="75" ref="B76:H76">B60+B45</f>
        <v>0</v>
      </c>
      <c r="C76" s="33">
        <f t="shared" si="75"/>
        <v>0</v>
      </c>
      <c r="D76" s="33">
        <f t="shared" si="75"/>
        <v>0</v>
      </c>
      <c r="E76" s="33">
        <f t="shared" si="75"/>
        <v>0</v>
      </c>
      <c r="F76" s="33">
        <f t="shared" si="75"/>
        <v>0</v>
      </c>
      <c r="G76" s="33">
        <f t="shared" si="75"/>
        <v>0</v>
      </c>
      <c r="H76" s="203">
        <f t="shared" si="75"/>
        <v>0</v>
      </c>
      <c r="I76" s="203">
        <f t="shared" si="64"/>
        <v>0</v>
      </c>
      <c r="J76" s="203">
        <f t="shared" si="64"/>
        <v>0</v>
      </c>
      <c r="K76" s="41">
        <f t="shared" si="64"/>
        <v>0</v>
      </c>
      <c r="S76" s="4" t="str">
        <f>$A$16</f>
        <v>Srm_0,35</v>
      </c>
      <c r="T76" s="3" t="str">
        <f t="shared" si="66"/>
        <v>AMM</v>
      </c>
      <c r="U76" s="8">
        <f t="shared" si="67"/>
        <v>0</v>
      </c>
      <c r="V76" s="6">
        <f t="shared" si="68"/>
        <v>4.784688995215311</v>
      </c>
      <c r="W76" s="8">
        <f t="shared" si="33"/>
        <v>0</v>
      </c>
      <c r="X76" s="9">
        <f t="shared" si="69"/>
        <v>0</v>
      </c>
      <c r="Y76" s="8">
        <f t="shared" si="70"/>
        <v>0</v>
      </c>
      <c r="Z76" s="9">
        <f t="shared" si="71"/>
        <v>0</v>
      </c>
      <c r="AA76" s="8">
        <f t="shared" si="72"/>
        <v>0</v>
      </c>
      <c r="AB76" s="4"/>
    </row>
    <row r="77" spans="2:28" ht="12.75">
      <c r="B77" s="33"/>
      <c r="S77" s="4" t="str">
        <f>$A$7</f>
        <v>FMO</v>
      </c>
      <c r="T77" s="3" t="str">
        <f>$I$6</f>
        <v>RM_1,0</v>
      </c>
      <c r="U77" s="8">
        <f>I$35/V77</f>
        <v>0</v>
      </c>
      <c r="V77" s="6">
        <f>I7</f>
        <v>0.616</v>
      </c>
      <c r="W77" s="8">
        <f t="shared" si="33"/>
        <v>0</v>
      </c>
      <c r="X77" s="9">
        <f>IF(K$25=0,0,K$25/V77)</f>
        <v>0</v>
      </c>
      <c r="Y77" s="8">
        <f>I$86/V77</f>
        <v>0</v>
      </c>
      <c r="Z77" s="9">
        <f>IF(K$26=0,0,K$26/V77)</f>
        <v>0</v>
      </c>
      <c r="AA77" s="8">
        <f t="shared" si="72"/>
        <v>0</v>
      </c>
      <c r="AB77" s="4"/>
    </row>
    <row r="78" spans="4:28" ht="12.75">
      <c r="D78" s="42"/>
      <c r="E78" s="42"/>
      <c r="F78" s="42"/>
      <c r="S78" s="4" t="str">
        <f>$A$8</f>
        <v>FMM</v>
      </c>
      <c r="T78" s="3" t="str">
        <f aca="true" t="shared" si="76" ref="T78:T86">$I$6</f>
        <v>RM_1,0</v>
      </c>
      <c r="U78" s="8">
        <f aca="true" t="shared" si="77" ref="U78:U86">I$35/V78</f>
        <v>0</v>
      </c>
      <c r="V78" s="6">
        <f aca="true" t="shared" si="78" ref="V78:V86">I8</f>
        <v>0.7</v>
      </c>
      <c r="W78" s="8">
        <f t="shared" si="33"/>
        <v>0</v>
      </c>
      <c r="X78" s="9">
        <f aca="true" t="shared" si="79" ref="X78:X86">IF(K$25=0,0,K$25/V78)</f>
        <v>0</v>
      </c>
      <c r="Y78" s="8">
        <f aca="true" t="shared" si="80" ref="Y78:Y86">I$86/V78</f>
        <v>0</v>
      </c>
      <c r="Z78" s="9">
        <f aca="true" t="shared" si="81" ref="Z78:Z86">IF(K$26=0,0,K$26/V78)</f>
        <v>0</v>
      </c>
      <c r="AA78" s="8">
        <f t="shared" si="72"/>
        <v>0</v>
      </c>
      <c r="AB78" s="4"/>
    </row>
    <row r="79" spans="19:28" ht="12.75">
      <c r="S79" s="4" t="str">
        <f>$A$9</f>
        <v>RMO</v>
      </c>
      <c r="T79" s="3" t="str">
        <f t="shared" si="76"/>
        <v>RM_1,0</v>
      </c>
      <c r="U79" s="8">
        <f t="shared" si="77"/>
        <v>0</v>
      </c>
      <c r="V79" s="6">
        <f t="shared" si="78"/>
        <v>0.9625</v>
      </c>
      <c r="W79" s="8">
        <f t="shared" si="33"/>
        <v>0</v>
      </c>
      <c r="X79" s="9">
        <f t="shared" si="79"/>
        <v>0</v>
      </c>
      <c r="Y79" s="8">
        <f t="shared" si="80"/>
        <v>0</v>
      </c>
      <c r="Z79" s="9">
        <f t="shared" si="81"/>
        <v>0</v>
      </c>
      <c r="AA79" s="8">
        <f t="shared" si="72"/>
        <v>0</v>
      </c>
      <c r="AB79" s="4"/>
    </row>
    <row r="80" spans="19:28" ht="12.75">
      <c r="S80" s="4" t="str">
        <f>$A$10</f>
        <v>RMM</v>
      </c>
      <c r="T80" s="3" t="str">
        <f t="shared" si="76"/>
        <v>RM_1,0</v>
      </c>
      <c r="U80" s="8">
        <f t="shared" si="77"/>
        <v>0</v>
      </c>
      <c r="V80" s="6">
        <f t="shared" si="78"/>
        <v>1.09375</v>
      </c>
      <c r="W80" s="8">
        <f t="shared" si="33"/>
        <v>0</v>
      </c>
      <c r="X80" s="9">
        <f t="shared" si="79"/>
        <v>0</v>
      </c>
      <c r="Y80" s="8">
        <f t="shared" si="80"/>
        <v>0</v>
      </c>
      <c r="Z80" s="9">
        <f t="shared" si="81"/>
        <v>0</v>
      </c>
      <c r="AA80" s="8">
        <f t="shared" si="72"/>
        <v>0</v>
      </c>
      <c r="AB80" s="4"/>
    </row>
    <row r="81" spans="19:28" ht="12.75">
      <c r="S81" s="4" t="str">
        <f>$A$11</f>
        <v>Srm O</v>
      </c>
      <c r="T81" s="3" t="str">
        <f t="shared" si="76"/>
        <v>RM_1,0</v>
      </c>
      <c r="U81" s="8">
        <f t="shared" si="77"/>
        <v>0</v>
      </c>
      <c r="V81" s="6">
        <f t="shared" si="78"/>
        <v>1.5399999999999998</v>
      </c>
      <c r="W81" s="8">
        <f t="shared" si="33"/>
        <v>0</v>
      </c>
      <c r="X81" s="9">
        <f t="shared" si="79"/>
        <v>0</v>
      </c>
      <c r="Y81" s="8">
        <f t="shared" si="80"/>
        <v>0</v>
      </c>
      <c r="Z81" s="9">
        <f t="shared" si="81"/>
        <v>0</v>
      </c>
      <c r="AA81" s="8">
        <f t="shared" si="72"/>
        <v>0</v>
      </c>
      <c r="AB81" s="4"/>
    </row>
    <row r="82" spans="19:28" ht="12.75">
      <c r="S82" s="4" t="str">
        <f>$A$12</f>
        <v>Srm M</v>
      </c>
      <c r="T82" s="3" t="str">
        <f t="shared" si="76"/>
        <v>RM_1,0</v>
      </c>
      <c r="U82" s="8">
        <f t="shared" si="77"/>
        <v>0</v>
      </c>
      <c r="V82" s="6">
        <f t="shared" si="78"/>
        <v>1.7499999999999998</v>
      </c>
      <c r="W82" s="8">
        <f t="shared" si="33"/>
        <v>0</v>
      </c>
      <c r="X82" s="9">
        <f t="shared" si="79"/>
        <v>0</v>
      </c>
      <c r="Y82" s="8">
        <f t="shared" si="80"/>
        <v>0</v>
      </c>
      <c r="Z82" s="9">
        <f t="shared" si="81"/>
        <v>0</v>
      </c>
      <c r="AA82" s="8">
        <f t="shared" si="72"/>
        <v>0</v>
      </c>
      <c r="AB82" s="4"/>
    </row>
    <row r="83" spans="19:28" ht="12.75">
      <c r="S83" s="4" t="str">
        <f>$A$13</f>
        <v>AMM</v>
      </c>
      <c r="T83" s="3" t="str">
        <f t="shared" si="76"/>
        <v>RM_1,0</v>
      </c>
      <c r="U83" s="8">
        <f t="shared" si="77"/>
        <v>0</v>
      </c>
      <c r="V83" s="6">
        <f t="shared" si="78"/>
        <v>0.29259999999999997</v>
      </c>
      <c r="W83" s="8">
        <f t="shared" si="33"/>
        <v>0</v>
      </c>
      <c r="X83" s="9">
        <f t="shared" si="79"/>
        <v>0</v>
      </c>
      <c r="Y83" s="8">
        <f t="shared" si="80"/>
        <v>0</v>
      </c>
      <c r="Z83" s="9">
        <f t="shared" si="81"/>
        <v>0</v>
      </c>
      <c r="AA83" s="8">
        <f t="shared" si="72"/>
        <v>0</v>
      </c>
      <c r="AB83" s="4"/>
    </row>
    <row r="84" spans="1:28" ht="12.75">
      <c r="A84" s="23"/>
      <c r="B84" s="259" t="s">
        <v>40</v>
      </c>
      <c r="C84" s="14"/>
      <c r="D84" s="14"/>
      <c r="E84" s="14"/>
      <c r="F84" s="14"/>
      <c r="G84" s="14"/>
      <c r="H84" s="14"/>
      <c r="I84" s="14"/>
      <c r="J84" s="14"/>
      <c r="K84" s="24"/>
      <c r="S84" s="4" t="str">
        <f>$A$14</f>
        <v>RM_1,0</v>
      </c>
      <c r="T84" s="3" t="str">
        <f t="shared" si="76"/>
        <v>RM_1,0</v>
      </c>
      <c r="U84" s="8">
        <f t="shared" si="77"/>
        <v>0</v>
      </c>
      <c r="V84" s="6">
        <f t="shared" si="78"/>
        <v>1</v>
      </c>
      <c r="W84" s="8">
        <f t="shared" si="33"/>
        <v>0</v>
      </c>
      <c r="X84" s="9">
        <f t="shared" si="79"/>
        <v>0</v>
      </c>
      <c r="Y84" s="8">
        <f t="shared" si="80"/>
        <v>0</v>
      </c>
      <c r="Z84" s="9">
        <f t="shared" si="81"/>
        <v>0</v>
      </c>
      <c r="AA84" s="8">
        <f t="shared" si="72"/>
        <v>0</v>
      </c>
      <c r="AB84" s="4"/>
    </row>
    <row r="85" spans="1:28" ht="12.75">
      <c r="A85" s="25"/>
      <c r="B85" s="29" t="str">
        <f aca="true" t="shared" si="82" ref="B85:K85">B6</f>
        <v>FMO</v>
      </c>
      <c r="C85" s="29" t="str">
        <f t="shared" si="82"/>
        <v>FMM</v>
      </c>
      <c r="D85" s="29" t="str">
        <f t="shared" si="82"/>
        <v>RMO</v>
      </c>
      <c r="E85" s="29" t="str">
        <f t="shared" si="82"/>
        <v>RMM</v>
      </c>
      <c r="F85" s="29" t="str">
        <f t="shared" si="82"/>
        <v>Srm O</v>
      </c>
      <c r="G85" s="29" t="str">
        <f t="shared" si="82"/>
        <v>Srm M</v>
      </c>
      <c r="H85" s="29" t="str">
        <f t="shared" si="82"/>
        <v>AMM</v>
      </c>
      <c r="I85" s="29" t="str">
        <f t="shared" si="82"/>
        <v>RM_1,0</v>
      </c>
      <c r="J85" s="29" t="str">
        <f t="shared" si="82"/>
        <v>RM_0,35</v>
      </c>
      <c r="K85" s="30" t="str">
        <f t="shared" si="82"/>
        <v>Srm_0,35</v>
      </c>
      <c r="S85" s="4" t="str">
        <f>$A$15</f>
        <v>RM_0,35</v>
      </c>
      <c r="T85" s="3" t="str">
        <f t="shared" si="76"/>
        <v>RM_1,0</v>
      </c>
      <c r="U85" s="8">
        <f t="shared" si="77"/>
        <v>0</v>
      </c>
      <c r="V85" s="6">
        <f t="shared" si="78"/>
        <v>0.8235294117647058</v>
      </c>
      <c r="W85" s="8">
        <f t="shared" si="33"/>
        <v>0</v>
      </c>
      <c r="X85" s="9">
        <f t="shared" si="79"/>
        <v>0</v>
      </c>
      <c r="Y85" s="8">
        <f t="shared" si="80"/>
        <v>0</v>
      </c>
      <c r="Z85" s="9">
        <f t="shared" si="81"/>
        <v>0</v>
      </c>
      <c r="AA85" s="8">
        <f t="shared" si="72"/>
        <v>0</v>
      </c>
      <c r="AB85" s="4"/>
    </row>
    <row r="86" spans="1:28" ht="12.75">
      <c r="A86" s="43" t="s">
        <v>39</v>
      </c>
      <c r="B86" s="44">
        <f>'Eingabe und Berechnung'!D7</f>
        <v>0</v>
      </c>
      <c r="C86" s="44">
        <f>'Eingabe und Berechnung'!$D8</f>
        <v>0</v>
      </c>
      <c r="D86" s="44">
        <f>'Eingabe und Berechnung'!$D9</f>
        <v>0</v>
      </c>
      <c r="E86" s="44">
        <f>'Eingabe und Berechnung'!$D10</f>
        <v>0</v>
      </c>
      <c r="F86" s="44">
        <f>'Eingabe und Berechnung'!$D11</f>
        <v>0</v>
      </c>
      <c r="G86" s="44">
        <f>'Eingabe und Berechnung'!$D12</f>
        <v>0</v>
      </c>
      <c r="H86" s="44">
        <f>'Eingabe und Berechnung'!$D13</f>
        <v>0</v>
      </c>
      <c r="I86" s="197">
        <f>'Eingabe und Berechnung'!$D14</f>
        <v>0</v>
      </c>
      <c r="J86" s="197">
        <f>'Eingabe und Berechnung'!$D15</f>
        <v>0</v>
      </c>
      <c r="K86" s="198">
        <f>'Eingabe und Berechnung'!$D16</f>
        <v>0</v>
      </c>
      <c r="S86" s="4" t="str">
        <f>$A$16</f>
        <v>Srm_0,35</v>
      </c>
      <c r="T86" s="3" t="str">
        <f t="shared" si="76"/>
        <v>RM_1,0</v>
      </c>
      <c r="U86" s="8">
        <f t="shared" si="77"/>
        <v>0</v>
      </c>
      <c r="V86" s="6">
        <f t="shared" si="78"/>
        <v>1.4</v>
      </c>
      <c r="W86" s="8">
        <f t="shared" si="33"/>
        <v>0</v>
      </c>
      <c r="X86" s="9">
        <f t="shared" si="79"/>
        <v>0</v>
      </c>
      <c r="Y86" s="8">
        <f t="shared" si="80"/>
        <v>0</v>
      </c>
      <c r="Z86" s="9">
        <f t="shared" si="81"/>
        <v>0</v>
      </c>
      <c r="AA86" s="8">
        <f t="shared" si="72"/>
        <v>0</v>
      </c>
      <c r="AB86" s="4"/>
    </row>
    <row r="87" spans="1:28" ht="12.75">
      <c r="A87" s="25" t="str">
        <f>A7</f>
        <v>FMO</v>
      </c>
      <c r="B87" s="27">
        <f aca="true" t="shared" si="83" ref="B87:B93">B$86/B7</f>
        <v>0</v>
      </c>
      <c r="C87" s="27">
        <f aca="true" t="shared" si="84" ref="C87:K87">C$86/C7</f>
        <v>0</v>
      </c>
      <c r="D87" s="27">
        <f t="shared" si="84"/>
        <v>0</v>
      </c>
      <c r="E87" s="27">
        <f t="shared" si="84"/>
        <v>0</v>
      </c>
      <c r="F87" s="27">
        <f t="shared" si="84"/>
        <v>0</v>
      </c>
      <c r="G87" s="27">
        <f t="shared" si="84"/>
        <v>0</v>
      </c>
      <c r="H87" s="27">
        <f t="shared" si="84"/>
        <v>0</v>
      </c>
      <c r="I87" s="27">
        <f t="shared" si="84"/>
        <v>0</v>
      </c>
      <c r="J87" s="27">
        <f t="shared" si="84"/>
        <v>0</v>
      </c>
      <c r="K87" s="31">
        <f t="shared" si="84"/>
        <v>0</v>
      </c>
      <c r="S87" s="4" t="str">
        <f>$A$7</f>
        <v>FMO</v>
      </c>
      <c r="T87" s="3" t="str">
        <f>$J$6</f>
        <v>RM_0,35</v>
      </c>
      <c r="U87" s="8">
        <f>J$35/V87</f>
        <v>0</v>
      </c>
      <c r="V87" s="6">
        <f>J7</f>
        <v>0.748</v>
      </c>
      <c r="W87" s="8">
        <f t="shared" si="33"/>
        <v>0</v>
      </c>
      <c r="X87" s="9">
        <f>IF(L$25=0,0,L$25/V87)</f>
        <v>0</v>
      </c>
      <c r="Y87" s="8">
        <f>J$86/V87</f>
        <v>0</v>
      </c>
      <c r="Z87" s="9">
        <f>IF(L$26=0,0,L$26/V87)</f>
        <v>0</v>
      </c>
      <c r="AA87" s="8">
        <f t="shared" si="72"/>
        <v>0</v>
      </c>
      <c r="AB87" s="4"/>
    </row>
    <row r="88" spans="1:28" ht="12.75">
      <c r="A88" s="25" t="str">
        <f aca="true" t="shared" si="85" ref="A88:A96">A8</f>
        <v>FMM</v>
      </c>
      <c r="B88" s="27">
        <f t="shared" si="83"/>
        <v>0</v>
      </c>
      <c r="C88" s="27">
        <f aca="true" t="shared" si="86" ref="C88:K88">C$86/C8</f>
        <v>0</v>
      </c>
      <c r="D88" s="27">
        <f t="shared" si="86"/>
        <v>0</v>
      </c>
      <c r="E88" s="27">
        <f t="shared" si="86"/>
        <v>0</v>
      </c>
      <c r="F88" s="27">
        <f t="shared" si="86"/>
        <v>0</v>
      </c>
      <c r="G88" s="27">
        <f t="shared" si="86"/>
        <v>0</v>
      </c>
      <c r="H88" s="27">
        <f t="shared" si="86"/>
        <v>0</v>
      </c>
      <c r="I88" s="27">
        <f t="shared" si="86"/>
        <v>0</v>
      </c>
      <c r="J88" s="27">
        <f t="shared" si="86"/>
        <v>0</v>
      </c>
      <c r="K88" s="31">
        <f t="shared" si="86"/>
        <v>0</v>
      </c>
      <c r="S88" s="4" t="str">
        <f>$A$8</f>
        <v>FMM</v>
      </c>
      <c r="T88" s="3" t="str">
        <f aca="true" t="shared" si="87" ref="T88:T96">$J$6</f>
        <v>RM_0,35</v>
      </c>
      <c r="U88" s="8">
        <f aca="true" t="shared" si="88" ref="U88:U96">J$35/V88</f>
        <v>0</v>
      </c>
      <c r="V88" s="6">
        <f aca="true" t="shared" si="89" ref="V88:V96">J8</f>
        <v>0.85</v>
      </c>
      <c r="W88" s="8">
        <f t="shared" si="33"/>
        <v>0</v>
      </c>
      <c r="X88" s="9">
        <f aca="true" t="shared" si="90" ref="X88:X96">IF(L$25=0,0,L$25/V88)</f>
        <v>0</v>
      </c>
      <c r="Y88" s="8">
        <f aca="true" t="shared" si="91" ref="Y88:Y96">J$86/V88</f>
        <v>0</v>
      </c>
      <c r="Z88" s="9">
        <f aca="true" t="shared" si="92" ref="Z88:Z96">IF(L$26=0,0,L$26/V88)</f>
        <v>0</v>
      </c>
      <c r="AA88" s="8">
        <f t="shared" si="72"/>
        <v>0</v>
      </c>
      <c r="AB88" s="4"/>
    </row>
    <row r="89" spans="1:28" ht="12.75">
      <c r="A89" s="25" t="str">
        <f t="shared" si="85"/>
        <v>RMO</v>
      </c>
      <c r="B89" s="27">
        <f t="shared" si="83"/>
        <v>0</v>
      </c>
      <c r="C89" s="27">
        <f aca="true" t="shared" si="93" ref="C89:K89">C$86/C9</f>
        <v>0</v>
      </c>
      <c r="D89" s="27">
        <f t="shared" si="93"/>
        <v>0</v>
      </c>
      <c r="E89" s="27">
        <f t="shared" si="93"/>
        <v>0</v>
      </c>
      <c r="F89" s="27">
        <f t="shared" si="93"/>
        <v>0</v>
      </c>
      <c r="G89" s="27">
        <f t="shared" si="93"/>
        <v>0</v>
      </c>
      <c r="H89" s="27">
        <f t="shared" si="93"/>
        <v>0</v>
      </c>
      <c r="I89" s="27">
        <f t="shared" si="93"/>
        <v>0</v>
      </c>
      <c r="J89" s="27">
        <f t="shared" si="93"/>
        <v>0</v>
      </c>
      <c r="K89" s="31">
        <f t="shared" si="93"/>
        <v>0</v>
      </c>
      <c r="S89" s="4" t="str">
        <f>$A$9</f>
        <v>RMO</v>
      </c>
      <c r="T89" s="3" t="str">
        <f t="shared" si="87"/>
        <v>RM_0,35</v>
      </c>
      <c r="U89" s="8">
        <f t="shared" si="88"/>
        <v>0</v>
      </c>
      <c r="V89" s="6">
        <f t="shared" si="89"/>
        <v>1.16875</v>
      </c>
      <c r="W89" s="8">
        <f t="shared" si="33"/>
        <v>0</v>
      </c>
      <c r="X89" s="9">
        <f t="shared" si="90"/>
        <v>0</v>
      </c>
      <c r="Y89" s="8">
        <f t="shared" si="91"/>
        <v>0</v>
      </c>
      <c r="Z89" s="9">
        <f t="shared" si="92"/>
        <v>0</v>
      </c>
      <c r="AA89" s="8">
        <f t="shared" si="72"/>
        <v>0</v>
      </c>
      <c r="AB89" s="4"/>
    </row>
    <row r="90" spans="1:28" ht="12.75">
      <c r="A90" s="25" t="str">
        <f t="shared" si="85"/>
        <v>RMM</v>
      </c>
      <c r="B90" s="27">
        <f t="shared" si="83"/>
        <v>0</v>
      </c>
      <c r="C90" s="27">
        <f aca="true" t="shared" si="94" ref="C90:K90">C$86/C10</f>
        <v>0</v>
      </c>
      <c r="D90" s="27">
        <f t="shared" si="94"/>
        <v>0</v>
      </c>
      <c r="E90" s="27">
        <f t="shared" si="94"/>
        <v>0</v>
      </c>
      <c r="F90" s="27">
        <f t="shared" si="94"/>
        <v>0</v>
      </c>
      <c r="G90" s="27">
        <f t="shared" si="94"/>
        <v>0</v>
      </c>
      <c r="H90" s="27">
        <f t="shared" si="94"/>
        <v>0</v>
      </c>
      <c r="I90" s="27">
        <f t="shared" si="94"/>
        <v>0</v>
      </c>
      <c r="J90" s="27">
        <f t="shared" si="94"/>
        <v>0</v>
      </c>
      <c r="K90" s="31">
        <f t="shared" si="94"/>
        <v>0</v>
      </c>
      <c r="S90" s="4" t="str">
        <f>$A$10</f>
        <v>RMM</v>
      </c>
      <c r="T90" s="3" t="str">
        <f t="shared" si="87"/>
        <v>RM_0,35</v>
      </c>
      <c r="U90" s="8">
        <f t="shared" si="88"/>
        <v>0</v>
      </c>
      <c r="V90" s="6">
        <f t="shared" si="89"/>
        <v>1.328125</v>
      </c>
      <c r="W90" s="8">
        <f t="shared" si="33"/>
        <v>0</v>
      </c>
      <c r="X90" s="9">
        <f t="shared" si="90"/>
        <v>0</v>
      </c>
      <c r="Y90" s="8">
        <f t="shared" si="91"/>
        <v>0</v>
      </c>
      <c r="Z90" s="9">
        <f t="shared" si="92"/>
        <v>0</v>
      </c>
      <c r="AA90" s="8">
        <f t="shared" si="72"/>
        <v>0</v>
      </c>
      <c r="AB90" s="4"/>
    </row>
    <row r="91" spans="1:28" ht="12.75">
      <c r="A91" s="25" t="str">
        <f t="shared" si="85"/>
        <v>Srm O</v>
      </c>
      <c r="B91" s="27">
        <f t="shared" si="83"/>
        <v>0</v>
      </c>
      <c r="C91" s="27">
        <f aca="true" t="shared" si="95" ref="C91:K91">C$86/C11</f>
        <v>0</v>
      </c>
      <c r="D91" s="27">
        <f t="shared" si="95"/>
        <v>0</v>
      </c>
      <c r="E91" s="27">
        <f t="shared" si="95"/>
        <v>0</v>
      </c>
      <c r="F91" s="27">
        <f t="shared" si="95"/>
        <v>0</v>
      </c>
      <c r="G91" s="27">
        <f t="shared" si="95"/>
        <v>0</v>
      </c>
      <c r="H91" s="27">
        <f t="shared" si="95"/>
        <v>0</v>
      </c>
      <c r="I91" s="27">
        <f t="shared" si="95"/>
        <v>0</v>
      </c>
      <c r="J91" s="27">
        <f t="shared" si="95"/>
        <v>0</v>
      </c>
      <c r="K91" s="31">
        <f t="shared" si="95"/>
        <v>0</v>
      </c>
      <c r="S91" s="4" t="str">
        <f>$A$11</f>
        <v>Srm O</v>
      </c>
      <c r="T91" s="3" t="str">
        <f t="shared" si="87"/>
        <v>RM_0,35</v>
      </c>
      <c r="U91" s="8">
        <f t="shared" si="88"/>
        <v>0</v>
      </c>
      <c r="V91" s="6">
        <f t="shared" si="89"/>
        <v>1.8699999999999999</v>
      </c>
      <c r="W91" s="8">
        <f t="shared" si="33"/>
        <v>0</v>
      </c>
      <c r="X91" s="9">
        <f t="shared" si="90"/>
        <v>0</v>
      </c>
      <c r="Y91" s="8">
        <f t="shared" si="91"/>
        <v>0</v>
      </c>
      <c r="Z91" s="9">
        <f t="shared" si="92"/>
        <v>0</v>
      </c>
      <c r="AA91" s="8">
        <f t="shared" si="72"/>
        <v>0</v>
      </c>
      <c r="AB91" s="4"/>
    </row>
    <row r="92" spans="1:28" ht="12.75">
      <c r="A92" s="25" t="str">
        <f t="shared" si="85"/>
        <v>Srm M</v>
      </c>
      <c r="B92" s="27">
        <f t="shared" si="83"/>
        <v>0</v>
      </c>
      <c r="C92" s="27">
        <f aca="true" t="shared" si="96" ref="C92:K92">C$86/C12</f>
        <v>0</v>
      </c>
      <c r="D92" s="27">
        <f t="shared" si="96"/>
        <v>0</v>
      </c>
      <c r="E92" s="27">
        <f t="shared" si="96"/>
        <v>0</v>
      </c>
      <c r="F92" s="27">
        <f t="shared" si="96"/>
        <v>0</v>
      </c>
      <c r="G92" s="27">
        <f t="shared" si="96"/>
        <v>0</v>
      </c>
      <c r="H92" s="27">
        <f t="shared" si="96"/>
        <v>0</v>
      </c>
      <c r="I92" s="27">
        <f t="shared" si="96"/>
        <v>0</v>
      </c>
      <c r="J92" s="27">
        <f t="shared" si="96"/>
        <v>0</v>
      </c>
      <c r="K92" s="31">
        <f t="shared" si="96"/>
        <v>0</v>
      </c>
      <c r="S92" s="4" t="str">
        <f>$A$12</f>
        <v>Srm M</v>
      </c>
      <c r="T92" s="3" t="str">
        <f t="shared" si="87"/>
        <v>RM_0,35</v>
      </c>
      <c r="U92" s="8">
        <f t="shared" si="88"/>
        <v>0</v>
      </c>
      <c r="V92" s="6">
        <f t="shared" si="89"/>
        <v>2.125</v>
      </c>
      <c r="W92" s="8">
        <f t="shared" si="33"/>
        <v>0</v>
      </c>
      <c r="X92" s="9">
        <f t="shared" si="90"/>
        <v>0</v>
      </c>
      <c r="Y92" s="8">
        <f t="shared" si="91"/>
        <v>0</v>
      </c>
      <c r="Z92" s="9">
        <f t="shared" si="92"/>
        <v>0</v>
      </c>
      <c r="AA92" s="8">
        <f t="shared" si="72"/>
        <v>0</v>
      </c>
      <c r="AB92" s="4"/>
    </row>
    <row r="93" spans="1:28" ht="12.75">
      <c r="A93" s="25" t="str">
        <f t="shared" si="85"/>
        <v>AMM</v>
      </c>
      <c r="B93" s="27">
        <f t="shared" si="83"/>
        <v>0</v>
      </c>
      <c r="C93" s="27">
        <f aca="true" t="shared" si="97" ref="C93:K93">C$86/C13</f>
        <v>0</v>
      </c>
      <c r="D93" s="27">
        <f t="shared" si="97"/>
        <v>0</v>
      </c>
      <c r="E93" s="27">
        <f t="shared" si="97"/>
        <v>0</v>
      </c>
      <c r="F93" s="27">
        <f t="shared" si="97"/>
        <v>0</v>
      </c>
      <c r="G93" s="27">
        <f t="shared" si="97"/>
        <v>0</v>
      </c>
      <c r="H93" s="27">
        <f t="shared" si="97"/>
        <v>0</v>
      </c>
      <c r="I93" s="27">
        <f t="shared" si="97"/>
        <v>0</v>
      </c>
      <c r="J93" s="27">
        <f t="shared" si="97"/>
        <v>0</v>
      </c>
      <c r="K93" s="31">
        <f t="shared" si="97"/>
        <v>0</v>
      </c>
      <c r="S93" s="4" t="str">
        <f>$A$13</f>
        <v>AMM</v>
      </c>
      <c r="T93" s="3" t="str">
        <f t="shared" si="87"/>
        <v>RM_0,35</v>
      </c>
      <c r="U93" s="8">
        <f t="shared" si="88"/>
        <v>0</v>
      </c>
      <c r="V93" s="6">
        <f t="shared" si="89"/>
        <v>0.3553</v>
      </c>
      <c r="W93" s="8">
        <f t="shared" si="33"/>
        <v>0</v>
      </c>
      <c r="X93" s="9">
        <f t="shared" si="90"/>
        <v>0</v>
      </c>
      <c r="Y93" s="8">
        <f t="shared" si="91"/>
        <v>0</v>
      </c>
      <c r="Z93" s="9">
        <f t="shared" si="92"/>
        <v>0</v>
      </c>
      <c r="AA93" s="8">
        <f t="shared" si="72"/>
        <v>0</v>
      </c>
      <c r="AB93" s="4"/>
    </row>
    <row r="94" spans="1:28" ht="12.75">
      <c r="A94" s="25" t="str">
        <f t="shared" si="85"/>
        <v>RM_1,0</v>
      </c>
      <c r="B94" s="27">
        <f aca="true" t="shared" si="98" ref="B94:K94">B$86/B14</f>
        <v>0</v>
      </c>
      <c r="C94" s="27">
        <f t="shared" si="98"/>
        <v>0</v>
      </c>
      <c r="D94" s="27">
        <f t="shared" si="98"/>
        <v>0</v>
      </c>
      <c r="E94" s="27">
        <f t="shared" si="98"/>
        <v>0</v>
      </c>
      <c r="F94" s="27">
        <f t="shared" si="98"/>
        <v>0</v>
      </c>
      <c r="G94" s="27">
        <f t="shared" si="98"/>
        <v>0</v>
      </c>
      <c r="H94" s="27">
        <f t="shared" si="98"/>
        <v>0</v>
      </c>
      <c r="I94" s="27">
        <f t="shared" si="98"/>
        <v>0</v>
      </c>
      <c r="J94" s="27">
        <f t="shared" si="98"/>
        <v>0</v>
      </c>
      <c r="K94" s="31">
        <f t="shared" si="98"/>
        <v>0</v>
      </c>
      <c r="S94" s="4" t="str">
        <f>$A$14</f>
        <v>RM_1,0</v>
      </c>
      <c r="T94" s="3" t="str">
        <f t="shared" si="87"/>
        <v>RM_0,35</v>
      </c>
      <c r="U94" s="8">
        <f t="shared" si="88"/>
        <v>0</v>
      </c>
      <c r="V94" s="6">
        <f t="shared" si="89"/>
        <v>1.2142857142857144</v>
      </c>
      <c r="W94" s="8">
        <f t="shared" si="33"/>
        <v>0</v>
      </c>
      <c r="X94" s="9">
        <f t="shared" si="90"/>
        <v>0</v>
      </c>
      <c r="Y94" s="8">
        <f t="shared" si="91"/>
        <v>0</v>
      </c>
      <c r="Z94" s="9">
        <f t="shared" si="92"/>
        <v>0</v>
      </c>
      <c r="AA94" s="8">
        <f t="shared" si="72"/>
        <v>0</v>
      </c>
      <c r="AB94" s="4"/>
    </row>
    <row r="95" spans="1:28" ht="12.75">
      <c r="A95" s="25" t="str">
        <f t="shared" si="85"/>
        <v>RM_0,35</v>
      </c>
      <c r="B95" s="27">
        <f aca="true" t="shared" si="99" ref="B95:K95">B$86/B15</f>
        <v>0</v>
      </c>
      <c r="C95" s="27">
        <f t="shared" si="99"/>
        <v>0</v>
      </c>
      <c r="D95" s="27">
        <f t="shared" si="99"/>
        <v>0</v>
      </c>
      <c r="E95" s="27">
        <f t="shared" si="99"/>
        <v>0</v>
      </c>
      <c r="F95" s="27">
        <f t="shared" si="99"/>
        <v>0</v>
      </c>
      <c r="G95" s="27">
        <f t="shared" si="99"/>
        <v>0</v>
      </c>
      <c r="H95" s="27">
        <f t="shared" si="99"/>
        <v>0</v>
      </c>
      <c r="I95" s="27">
        <f t="shared" si="99"/>
        <v>0</v>
      </c>
      <c r="J95" s="27">
        <f t="shared" si="99"/>
        <v>0</v>
      </c>
      <c r="K95" s="31">
        <f t="shared" si="99"/>
        <v>0</v>
      </c>
      <c r="S95" s="4" t="str">
        <f>$A$15</f>
        <v>RM_0,35</v>
      </c>
      <c r="T95" s="3" t="str">
        <f t="shared" si="87"/>
        <v>RM_0,35</v>
      </c>
      <c r="U95" s="8">
        <f t="shared" si="88"/>
        <v>0</v>
      </c>
      <c r="V95" s="6">
        <f t="shared" si="89"/>
        <v>1</v>
      </c>
      <c r="W95" s="8">
        <f t="shared" si="33"/>
        <v>0</v>
      </c>
      <c r="X95" s="9">
        <f t="shared" si="90"/>
        <v>0</v>
      </c>
      <c r="Y95" s="8">
        <f t="shared" si="91"/>
        <v>0</v>
      </c>
      <c r="Z95" s="9">
        <f t="shared" si="92"/>
        <v>0</v>
      </c>
      <c r="AA95" s="8">
        <f t="shared" si="72"/>
        <v>0</v>
      </c>
      <c r="AB95" s="4"/>
    </row>
    <row r="96" spans="1:28" ht="12.75">
      <c r="A96" s="32" t="str">
        <f t="shared" si="85"/>
        <v>Srm_0,35</v>
      </c>
      <c r="B96" s="33">
        <f aca="true" t="shared" si="100" ref="B96:K96">B$86/B16</f>
        <v>0</v>
      </c>
      <c r="C96" s="33">
        <f t="shared" si="100"/>
        <v>0</v>
      </c>
      <c r="D96" s="33">
        <f t="shared" si="100"/>
        <v>0</v>
      </c>
      <c r="E96" s="33">
        <f t="shared" si="100"/>
        <v>0</v>
      </c>
      <c r="F96" s="33">
        <f t="shared" si="100"/>
        <v>0</v>
      </c>
      <c r="G96" s="33">
        <f t="shared" si="100"/>
        <v>0</v>
      </c>
      <c r="H96" s="33">
        <f t="shared" si="100"/>
        <v>0</v>
      </c>
      <c r="I96" s="33">
        <f t="shared" si="100"/>
        <v>0</v>
      </c>
      <c r="J96" s="33">
        <f t="shared" si="100"/>
        <v>0</v>
      </c>
      <c r="K96" s="34">
        <f t="shared" si="100"/>
        <v>0</v>
      </c>
      <c r="S96" s="4" t="str">
        <f>$A$16</f>
        <v>Srm_0,35</v>
      </c>
      <c r="T96" s="3" t="str">
        <f t="shared" si="87"/>
        <v>RM_0,35</v>
      </c>
      <c r="U96" s="8">
        <f t="shared" si="88"/>
        <v>0</v>
      </c>
      <c r="V96" s="6">
        <f t="shared" si="89"/>
        <v>1.7</v>
      </c>
      <c r="W96" s="8">
        <f t="shared" si="33"/>
        <v>0</v>
      </c>
      <c r="X96" s="9">
        <f t="shared" si="90"/>
        <v>0</v>
      </c>
      <c r="Y96" s="8">
        <f t="shared" si="91"/>
        <v>0</v>
      </c>
      <c r="Z96" s="9">
        <f t="shared" si="92"/>
        <v>0</v>
      </c>
      <c r="AA96" s="8">
        <f t="shared" si="72"/>
        <v>0</v>
      </c>
      <c r="AB96" s="4"/>
    </row>
    <row r="97" spans="19:28" ht="12.75">
      <c r="S97" s="4" t="str">
        <f>$A$7</f>
        <v>FMO</v>
      </c>
      <c r="T97" s="3" t="str">
        <f>$K$6</f>
        <v>Srm_0,35</v>
      </c>
      <c r="U97" s="8">
        <f>K$35/V97</f>
        <v>0</v>
      </c>
      <c r="V97" s="6">
        <f>K7</f>
        <v>0.44</v>
      </c>
      <c r="W97" s="8">
        <f t="shared" si="33"/>
        <v>0</v>
      </c>
      <c r="X97" s="9">
        <f>IF(M$25=0,0,M$25/V97)</f>
        <v>0</v>
      </c>
      <c r="Y97" s="8">
        <f>K$86/V97</f>
        <v>0</v>
      </c>
      <c r="Z97" s="9">
        <f>IF(M$26=0,0,M$26/V97)</f>
        <v>0</v>
      </c>
      <c r="AA97" s="8">
        <f t="shared" si="72"/>
        <v>0</v>
      </c>
      <c r="AB97" s="4"/>
    </row>
    <row r="98" spans="19:28" ht="12.75">
      <c r="S98" s="4" t="str">
        <f>$A$8</f>
        <v>FMM</v>
      </c>
      <c r="T98" s="3" t="str">
        <f aca="true" t="shared" si="101" ref="T98:T106">$K$6</f>
        <v>Srm_0,35</v>
      </c>
      <c r="U98" s="8">
        <f aca="true" t="shared" si="102" ref="U98:U106">K$35/V98</f>
        <v>0</v>
      </c>
      <c r="V98" s="6">
        <f aca="true" t="shared" si="103" ref="V98:V106">K8</f>
        <v>0.5</v>
      </c>
      <c r="W98" s="8">
        <f t="shared" si="33"/>
        <v>0</v>
      </c>
      <c r="X98" s="9">
        <f aca="true" t="shared" si="104" ref="X98:X106">IF(M$25=0,0,M$25/V98)</f>
        <v>0</v>
      </c>
      <c r="Y98" s="8">
        <f aca="true" t="shared" si="105" ref="Y98:Y106">K$86/V98</f>
        <v>0</v>
      </c>
      <c r="Z98" s="9">
        <f aca="true" t="shared" si="106" ref="Z98:Z106">IF(M$26=0,0,M$26/V98)</f>
        <v>0</v>
      </c>
      <c r="AA98" s="8">
        <f t="shared" si="72"/>
        <v>0</v>
      </c>
      <c r="AB98" s="4"/>
    </row>
    <row r="99" spans="19:28" ht="12.75">
      <c r="S99" s="4" t="str">
        <f>$A$9</f>
        <v>RMO</v>
      </c>
      <c r="T99" s="3" t="str">
        <f t="shared" si="101"/>
        <v>Srm_0,35</v>
      </c>
      <c r="U99" s="8">
        <f t="shared" si="102"/>
        <v>0</v>
      </c>
      <c r="V99" s="6">
        <f t="shared" si="103"/>
        <v>0.6875</v>
      </c>
      <c r="W99" s="8">
        <f t="shared" si="33"/>
        <v>0</v>
      </c>
      <c r="X99" s="9">
        <f t="shared" si="104"/>
        <v>0</v>
      </c>
      <c r="Y99" s="8">
        <f t="shared" si="105"/>
        <v>0</v>
      </c>
      <c r="Z99" s="9">
        <f t="shared" si="106"/>
        <v>0</v>
      </c>
      <c r="AA99" s="8">
        <f t="shared" si="72"/>
        <v>0</v>
      </c>
      <c r="AB99" s="4"/>
    </row>
    <row r="100" spans="1:28" ht="12.75">
      <c r="A100" s="45"/>
      <c r="S100" s="4" t="str">
        <f>$A$10</f>
        <v>RMM</v>
      </c>
      <c r="T100" s="3" t="str">
        <f t="shared" si="101"/>
        <v>Srm_0,35</v>
      </c>
      <c r="U100" s="8">
        <f t="shared" si="102"/>
        <v>0</v>
      </c>
      <c r="V100" s="6">
        <f t="shared" si="103"/>
        <v>0.78125</v>
      </c>
      <c r="W100" s="8">
        <f t="shared" si="33"/>
        <v>0</v>
      </c>
      <c r="X100" s="9">
        <f t="shared" si="104"/>
        <v>0</v>
      </c>
      <c r="Y100" s="8">
        <f t="shared" si="105"/>
        <v>0</v>
      </c>
      <c r="Z100" s="9">
        <f t="shared" si="106"/>
        <v>0</v>
      </c>
      <c r="AA100" s="8">
        <f t="shared" si="72"/>
        <v>0</v>
      </c>
      <c r="AB100" s="4"/>
    </row>
    <row r="101" spans="1:28" ht="15">
      <c r="A101" s="46" t="s">
        <v>95</v>
      </c>
      <c r="B101" s="47"/>
      <c r="C101" s="47"/>
      <c r="D101" s="47"/>
      <c r="E101" s="47"/>
      <c r="F101" s="48"/>
      <c r="G101" s="12"/>
      <c r="H101" s="13"/>
      <c r="S101" s="4" t="str">
        <f>$A$11</f>
        <v>Srm O</v>
      </c>
      <c r="T101" s="3" t="str">
        <f t="shared" si="101"/>
        <v>Srm_0,35</v>
      </c>
      <c r="U101" s="8">
        <f t="shared" si="102"/>
        <v>0</v>
      </c>
      <c r="V101" s="6">
        <f t="shared" si="103"/>
        <v>1.0999999999999999</v>
      </c>
      <c r="W101" s="8">
        <f t="shared" si="33"/>
        <v>0</v>
      </c>
      <c r="X101" s="9">
        <f t="shared" si="104"/>
        <v>0</v>
      </c>
      <c r="Y101" s="8">
        <f t="shared" si="105"/>
        <v>0</v>
      </c>
      <c r="Z101" s="9">
        <f t="shared" si="106"/>
        <v>0</v>
      </c>
      <c r="AA101" s="8">
        <f t="shared" si="72"/>
        <v>0</v>
      </c>
      <c r="AB101" s="4"/>
    </row>
    <row r="102" spans="1:28" ht="12.75">
      <c r="A102" s="49" t="s">
        <v>6</v>
      </c>
      <c r="B102" s="50"/>
      <c r="C102" s="51">
        <f>DGET('DB Baumarten'!$A$1:$J$99,'DB Baumarten'!$B$1,'DB Baumarten'!$K$1:$M$2)</f>
        <v>0.12</v>
      </c>
      <c r="D102" s="50"/>
      <c r="E102" s="50"/>
      <c r="F102" s="52"/>
      <c r="G102" s="18"/>
      <c r="H102" s="36"/>
      <c r="S102" s="4" t="str">
        <f>$A$12</f>
        <v>Srm M</v>
      </c>
      <c r="T102" s="3" t="str">
        <f t="shared" si="101"/>
        <v>Srm_0,35</v>
      </c>
      <c r="U102" s="8">
        <f t="shared" si="102"/>
        <v>0</v>
      </c>
      <c r="V102" s="6">
        <f t="shared" si="103"/>
        <v>1.25</v>
      </c>
      <c r="W102" s="8">
        <f t="shared" si="33"/>
        <v>0</v>
      </c>
      <c r="X102" s="9">
        <f t="shared" si="104"/>
        <v>0</v>
      </c>
      <c r="Y102" s="8">
        <f t="shared" si="105"/>
        <v>0</v>
      </c>
      <c r="Z102" s="9">
        <f t="shared" si="106"/>
        <v>0</v>
      </c>
      <c r="AA102" s="8">
        <f t="shared" si="72"/>
        <v>0</v>
      </c>
      <c r="AB102" s="4"/>
    </row>
    <row r="103" spans="1:28" ht="12.75">
      <c r="A103" s="49" t="s">
        <v>28</v>
      </c>
      <c r="B103" s="50"/>
      <c r="C103" s="53">
        <f>DGET('DB Baumarten'!$A$1:$J$99,'DB Baumarten'!$D$1,'DB Baumarten'!$K$1:$M$2)</f>
        <v>475</v>
      </c>
      <c r="D103" s="50"/>
      <c r="E103" s="50"/>
      <c r="F103" s="52"/>
      <c r="G103" s="18"/>
      <c r="H103" s="36"/>
      <c r="S103" s="4" t="str">
        <f>$A$13</f>
        <v>AMM</v>
      </c>
      <c r="T103" s="3" t="str">
        <f t="shared" si="101"/>
        <v>Srm_0,35</v>
      </c>
      <c r="U103" s="8">
        <f t="shared" si="102"/>
        <v>0</v>
      </c>
      <c r="V103" s="6">
        <f t="shared" si="103"/>
        <v>0.209</v>
      </c>
      <c r="W103" s="8">
        <f>X103+U103</f>
        <v>0</v>
      </c>
      <c r="X103" s="9">
        <f t="shared" si="104"/>
        <v>0</v>
      </c>
      <c r="Y103" s="8">
        <f t="shared" si="105"/>
        <v>0</v>
      </c>
      <c r="Z103" s="9">
        <f t="shared" si="106"/>
        <v>0</v>
      </c>
      <c r="AA103" s="8">
        <f t="shared" si="72"/>
        <v>0</v>
      </c>
      <c r="AB103" s="4"/>
    </row>
    <row r="104" spans="1:28" ht="12.75">
      <c r="A104" s="49" t="s">
        <v>30</v>
      </c>
      <c r="B104" s="50"/>
      <c r="C104" s="53">
        <f>DGET('DB Baumarten'!$A$1:$J$99,'DB Baumarten'!$E$1,'DB Baumarten'!$K$1:$M$2)</f>
        <v>430</v>
      </c>
      <c r="D104" s="50"/>
      <c r="E104" s="50"/>
      <c r="F104" s="52"/>
      <c r="G104" s="18"/>
      <c r="H104" s="36"/>
      <c r="S104" s="4" t="str">
        <f>$A$14</f>
        <v>RM_1,0</v>
      </c>
      <c r="T104" s="3" t="str">
        <f t="shared" si="101"/>
        <v>Srm_0,35</v>
      </c>
      <c r="U104" s="8">
        <f t="shared" si="102"/>
        <v>0</v>
      </c>
      <c r="V104" s="6">
        <f t="shared" si="103"/>
        <v>0.7142857142857143</v>
      </c>
      <c r="W104" s="8">
        <f>X104+U104</f>
        <v>0</v>
      </c>
      <c r="X104" s="9">
        <f t="shared" si="104"/>
        <v>0</v>
      </c>
      <c r="Y104" s="8">
        <f t="shared" si="105"/>
        <v>0</v>
      </c>
      <c r="Z104" s="9">
        <f t="shared" si="106"/>
        <v>0</v>
      </c>
      <c r="AA104" s="8">
        <f t="shared" si="72"/>
        <v>0</v>
      </c>
      <c r="AB104" s="4"/>
    </row>
    <row r="105" spans="1:28" ht="12.75">
      <c r="A105" s="54"/>
      <c r="B105" s="50"/>
      <c r="C105" s="50"/>
      <c r="D105" s="50"/>
      <c r="E105" s="50"/>
      <c r="F105" s="52"/>
      <c r="G105" s="18"/>
      <c r="H105" s="36"/>
      <c r="S105" s="4" t="str">
        <f>$A$15</f>
        <v>RM_0,35</v>
      </c>
      <c r="T105" s="3" t="str">
        <f t="shared" si="101"/>
        <v>Srm_0,35</v>
      </c>
      <c r="U105" s="8">
        <f t="shared" si="102"/>
        <v>0</v>
      </c>
      <c r="V105" s="6">
        <f t="shared" si="103"/>
        <v>0.5882352941176471</v>
      </c>
      <c r="W105" s="8">
        <f>X105+U105</f>
        <v>0</v>
      </c>
      <c r="X105" s="9">
        <f t="shared" si="104"/>
        <v>0</v>
      </c>
      <c r="Y105" s="8">
        <f t="shared" si="105"/>
        <v>0</v>
      </c>
      <c r="Z105" s="9">
        <f t="shared" si="106"/>
        <v>0</v>
      </c>
      <c r="AA105" s="8">
        <f t="shared" si="72"/>
        <v>0</v>
      </c>
      <c r="AB105" s="4"/>
    </row>
    <row r="106" spans="1:28" ht="12.75">
      <c r="A106" s="49" t="s">
        <v>96</v>
      </c>
      <c r="B106" s="55">
        <f>'Eingabe und Berechnung'!F41</f>
        <v>0.64</v>
      </c>
      <c r="C106" s="50" t="s">
        <v>14</v>
      </c>
      <c r="D106" s="50" t="str">
        <f>'Eingabe und Berechnung'!F40</f>
        <v>lang (3 - 6 m)</v>
      </c>
      <c r="E106" s="50"/>
      <c r="F106" s="52"/>
      <c r="G106" s="18"/>
      <c r="H106" s="36"/>
      <c r="S106" s="4" t="str">
        <f>$A$16</f>
        <v>Srm_0,35</v>
      </c>
      <c r="T106" s="3" t="str">
        <f t="shared" si="101"/>
        <v>Srm_0,35</v>
      </c>
      <c r="U106" s="8">
        <f t="shared" si="102"/>
        <v>0</v>
      </c>
      <c r="V106" s="6">
        <f t="shared" si="103"/>
        <v>1</v>
      </c>
      <c r="W106" s="8">
        <f>X106+U106</f>
        <v>0</v>
      </c>
      <c r="X106" s="9">
        <f t="shared" si="104"/>
        <v>0</v>
      </c>
      <c r="Y106" s="8">
        <f t="shared" si="105"/>
        <v>0</v>
      </c>
      <c r="Z106" s="9">
        <f t="shared" si="106"/>
        <v>0</v>
      </c>
      <c r="AA106" s="8">
        <f t="shared" si="72"/>
        <v>0</v>
      </c>
      <c r="AB106" s="4"/>
    </row>
    <row r="107" spans="1:28" ht="12.75">
      <c r="A107" s="56" t="s">
        <v>90</v>
      </c>
      <c r="B107" s="57">
        <f>'Eingabe und Berechnung'!F45</f>
        <v>0.4</v>
      </c>
      <c r="C107" s="58" t="s">
        <v>14</v>
      </c>
      <c r="D107" s="58" t="str">
        <f>'Eingabe und Berechnung'!F44</f>
        <v>Srm Hackgut G 30 fein</v>
      </c>
      <c r="E107" s="58"/>
      <c r="F107" s="59"/>
      <c r="G107" s="18"/>
      <c r="H107" s="36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2.75">
      <c r="A108" s="25"/>
      <c r="B108" s="18"/>
      <c r="C108" s="18"/>
      <c r="D108" s="18"/>
      <c r="E108" s="18"/>
      <c r="F108" s="18"/>
      <c r="G108" s="18"/>
      <c r="H108" s="36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2.75">
      <c r="A109" s="60" t="s">
        <v>72</v>
      </c>
      <c r="B109" s="18"/>
      <c r="C109" s="18"/>
      <c r="D109" s="18"/>
      <c r="E109" s="18"/>
      <c r="F109" s="18"/>
      <c r="G109" s="18"/>
      <c r="H109" s="36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2.75">
      <c r="A110" s="25" t="s">
        <v>41</v>
      </c>
      <c r="B110" s="18"/>
      <c r="C110" s="18"/>
      <c r="D110" s="18" t="s">
        <v>73</v>
      </c>
      <c r="E110" s="18"/>
      <c r="F110" s="18"/>
      <c r="G110" s="18"/>
      <c r="H110" s="36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2.75">
      <c r="A111" s="25" t="s">
        <v>73</v>
      </c>
      <c r="B111" s="18"/>
      <c r="C111" s="18"/>
      <c r="D111" s="61">
        <v>1</v>
      </c>
      <c r="E111" s="62"/>
      <c r="F111" s="42"/>
      <c r="G111" s="18"/>
      <c r="H111" s="36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2.75">
      <c r="A112" s="25" t="s">
        <v>74</v>
      </c>
      <c r="B112" s="18"/>
      <c r="C112" s="18"/>
      <c r="D112" s="61">
        <v>0.7</v>
      </c>
      <c r="E112" s="42"/>
      <c r="F112" s="42"/>
      <c r="G112" s="18"/>
      <c r="H112" s="36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2.75">
      <c r="A113" s="25" t="s">
        <v>75</v>
      </c>
      <c r="B113" s="18"/>
      <c r="C113" s="18"/>
      <c r="D113" s="61">
        <v>0.85</v>
      </c>
      <c r="E113" s="42"/>
      <c r="F113" s="42"/>
      <c r="G113" s="18"/>
      <c r="H113" s="36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2.75">
      <c r="A114" s="25" t="s">
        <v>76</v>
      </c>
      <c r="B114" s="18"/>
      <c r="C114" s="18"/>
      <c r="D114" s="61">
        <v>0.5</v>
      </c>
      <c r="E114" s="63"/>
      <c r="F114" s="42"/>
      <c r="G114" s="18"/>
      <c r="H114" s="36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2.75">
      <c r="A115" s="25" t="s">
        <v>77</v>
      </c>
      <c r="B115" s="18"/>
      <c r="C115" s="18"/>
      <c r="D115" s="61">
        <v>0.4</v>
      </c>
      <c r="E115" s="62"/>
      <c r="F115" s="42"/>
      <c r="G115" s="18"/>
      <c r="H115" s="36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2.75">
      <c r="A116" s="25" t="s">
        <v>78</v>
      </c>
      <c r="B116" s="18"/>
      <c r="C116" s="18"/>
      <c r="D116" s="61">
        <v>0.33</v>
      </c>
      <c r="E116" s="42"/>
      <c r="F116" s="42"/>
      <c r="G116" s="18"/>
      <c r="H116" s="36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2.75">
      <c r="A117" s="25" t="s">
        <v>79</v>
      </c>
      <c r="B117" s="18"/>
      <c r="C117" s="18"/>
      <c r="D117" s="61">
        <v>0.33</v>
      </c>
      <c r="E117" s="42"/>
      <c r="F117" s="42"/>
      <c r="G117" s="18"/>
      <c r="H117" s="36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2.75">
      <c r="A118" s="25" t="s">
        <v>80</v>
      </c>
      <c r="B118" s="18"/>
      <c r="C118" s="18"/>
      <c r="D118" s="61">
        <v>0.2</v>
      </c>
      <c r="E118" s="63"/>
      <c r="F118" s="42"/>
      <c r="G118" s="18"/>
      <c r="H118" s="36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75">
      <c r="A119" s="32" t="s">
        <v>81</v>
      </c>
      <c r="B119" s="20"/>
      <c r="C119" s="20"/>
      <c r="D119" s="64">
        <v>0.301</v>
      </c>
      <c r="E119" s="65"/>
      <c r="F119" s="65"/>
      <c r="G119" s="20"/>
      <c r="H119" s="66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9:28" ht="12.75"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5">
      <c r="A121" s="67" t="s">
        <v>107</v>
      </c>
      <c r="B121" s="12"/>
      <c r="C121" s="12"/>
      <c r="D121" s="12"/>
      <c r="E121" s="12"/>
      <c r="F121" s="12"/>
      <c r="G121" s="12"/>
      <c r="H121" s="12"/>
      <c r="I121" s="12"/>
      <c r="J121" s="13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2.75">
      <c r="A122" s="25" t="s">
        <v>108</v>
      </c>
      <c r="B122" s="18" t="s">
        <v>109</v>
      </c>
      <c r="C122" s="18"/>
      <c r="D122" s="18"/>
      <c r="E122" s="18"/>
      <c r="F122" s="18"/>
      <c r="G122" s="18"/>
      <c r="H122" s="18"/>
      <c r="I122" s="18"/>
      <c r="J122" s="36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2.75">
      <c r="A123" s="25"/>
      <c r="B123" s="18"/>
      <c r="C123" s="18"/>
      <c r="D123" s="18"/>
      <c r="E123" s="18"/>
      <c r="F123" s="18"/>
      <c r="G123" s="18"/>
      <c r="H123" s="18"/>
      <c r="I123" s="18"/>
      <c r="J123" s="36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2.75">
      <c r="A124" s="60" t="s">
        <v>110</v>
      </c>
      <c r="B124" s="18">
        <v>15</v>
      </c>
      <c r="C124" s="18" t="s">
        <v>121</v>
      </c>
      <c r="D124" s="18"/>
      <c r="E124" s="18"/>
      <c r="F124" s="11" t="s">
        <v>111</v>
      </c>
      <c r="G124" s="12"/>
      <c r="H124" s="12"/>
      <c r="I124" s="12"/>
      <c r="J124" s="13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2.75">
      <c r="A125" s="60" t="s">
        <v>123</v>
      </c>
      <c r="B125" s="68">
        <f>H132</f>
        <v>4</v>
      </c>
      <c r="C125" s="18" t="s">
        <v>112</v>
      </c>
      <c r="D125" s="18"/>
      <c r="E125" s="18"/>
      <c r="F125" s="69" t="s">
        <v>112</v>
      </c>
      <c r="G125" s="69" t="s">
        <v>113</v>
      </c>
      <c r="H125" s="70" t="s">
        <v>114</v>
      </c>
      <c r="I125" s="35" t="s">
        <v>115</v>
      </c>
      <c r="J125" s="13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2.75">
      <c r="A126" s="60" t="s">
        <v>116</v>
      </c>
      <c r="B126" s="18">
        <v>0</v>
      </c>
      <c r="C126" s="18"/>
      <c r="D126" s="18"/>
      <c r="E126" s="18"/>
      <c r="F126" s="71">
        <v>2</v>
      </c>
      <c r="G126" s="71"/>
      <c r="H126" s="26">
        <f>F126*G126</f>
        <v>0</v>
      </c>
      <c r="I126" s="25">
        <f>F126*H126</f>
        <v>0</v>
      </c>
      <c r="J126" s="36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2.75">
      <c r="A127" s="60" t="s">
        <v>111</v>
      </c>
      <c r="B127" s="72">
        <f>(I131-(H132^2)*100)^0.5</f>
        <v>0</v>
      </c>
      <c r="C127" s="18"/>
      <c r="D127" s="18"/>
      <c r="E127" s="18"/>
      <c r="F127" s="71">
        <v>3</v>
      </c>
      <c r="G127" s="71"/>
      <c r="H127" s="26">
        <f>F127*G127</f>
        <v>0</v>
      </c>
      <c r="I127" s="25">
        <f>F127*H127</f>
        <v>0</v>
      </c>
      <c r="J127" s="36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2.75">
      <c r="A128" s="25"/>
      <c r="B128" s="18"/>
      <c r="C128" s="18"/>
      <c r="D128" s="18"/>
      <c r="E128" s="18"/>
      <c r="F128" s="71">
        <v>4</v>
      </c>
      <c r="G128" s="71">
        <v>100</v>
      </c>
      <c r="H128" s="26">
        <f>F128*G128</f>
        <v>400</v>
      </c>
      <c r="I128" s="25">
        <f>F128*H128</f>
        <v>1600</v>
      </c>
      <c r="J128" s="36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2.75">
      <c r="A129" s="25"/>
      <c r="B129" s="18"/>
      <c r="C129" s="18"/>
      <c r="D129" s="18"/>
      <c r="E129" s="18"/>
      <c r="F129" s="71">
        <v>5</v>
      </c>
      <c r="G129" s="71"/>
      <c r="H129" s="26">
        <f>F129*G129</f>
        <v>0</v>
      </c>
      <c r="I129" s="25">
        <f>F129*H129</f>
        <v>0</v>
      </c>
      <c r="J129" s="36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2.75">
      <c r="A130" s="60" t="s">
        <v>117</v>
      </c>
      <c r="B130" s="61">
        <f>0.56301+0.00779*B124+0.00123*B124*B126-0.00066*B125*B127</f>
        <v>0.67986</v>
      </c>
      <c r="C130" s="18"/>
      <c r="D130" s="18"/>
      <c r="E130" s="18"/>
      <c r="F130" s="73">
        <v>6</v>
      </c>
      <c r="G130" s="73"/>
      <c r="H130" s="28">
        <f>F130*G130</f>
        <v>0</v>
      </c>
      <c r="I130" s="32">
        <f>F130*H130</f>
        <v>0</v>
      </c>
      <c r="J130" s="66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2.75">
      <c r="A131" s="25"/>
      <c r="B131" s="18"/>
      <c r="C131" s="18"/>
      <c r="D131" s="18"/>
      <c r="E131" s="18"/>
      <c r="F131" s="25" t="s">
        <v>120</v>
      </c>
      <c r="G131" s="69">
        <f>SUM(G126:G130)</f>
        <v>100</v>
      </c>
      <c r="H131" s="70">
        <f>SUM(H126:H130)</f>
        <v>400</v>
      </c>
      <c r="I131" s="35">
        <f>SUM(I126:I130)</f>
        <v>1600</v>
      </c>
      <c r="J131" s="13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2.75">
      <c r="A132" s="25"/>
      <c r="B132" s="18"/>
      <c r="C132" s="18"/>
      <c r="D132" s="18"/>
      <c r="E132" s="18"/>
      <c r="F132" s="23" t="s">
        <v>122</v>
      </c>
      <c r="G132" s="14"/>
      <c r="H132" s="74">
        <f>H131/100</f>
        <v>4</v>
      </c>
      <c r="I132" s="14" t="s">
        <v>112</v>
      </c>
      <c r="J132" s="2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2.75">
      <c r="A133" s="25"/>
      <c r="B133" s="18"/>
      <c r="C133" s="18"/>
      <c r="D133" s="18"/>
      <c r="E133" s="18"/>
      <c r="F133" s="18"/>
      <c r="G133" s="18"/>
      <c r="H133" s="18"/>
      <c r="I133" s="18"/>
      <c r="J133" s="36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2.75">
      <c r="A134" s="25" t="s">
        <v>118</v>
      </c>
      <c r="B134" s="18"/>
      <c r="C134" s="18"/>
      <c r="D134" s="18"/>
      <c r="E134" s="18"/>
      <c r="F134" s="18"/>
      <c r="G134" s="18"/>
      <c r="H134" s="18"/>
      <c r="I134" s="18"/>
      <c r="J134" s="36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2.75">
      <c r="A135" s="32" t="s">
        <v>119</v>
      </c>
      <c r="B135" s="20"/>
      <c r="C135" s="20"/>
      <c r="D135" s="20"/>
      <c r="E135" s="20"/>
      <c r="F135" s="20"/>
      <c r="G135" s="20"/>
      <c r="H135" s="20"/>
      <c r="I135" s="20"/>
      <c r="J135" s="66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9:28" ht="12.75"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9:28" ht="12.75"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9:28" ht="12.75"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9:28" ht="12.75"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2.75">
      <c r="A141" s="42"/>
      <c r="B141" s="45"/>
      <c r="C141" s="45"/>
      <c r="D141" s="45"/>
      <c r="E141" s="45"/>
      <c r="F141" s="45"/>
      <c r="G141" s="45"/>
      <c r="H141" s="45"/>
      <c r="I141" s="42"/>
      <c r="J141" s="42"/>
      <c r="K141" s="42"/>
      <c r="L141" s="42"/>
      <c r="M141" s="42"/>
      <c r="N141" s="42"/>
      <c r="O141" s="42"/>
      <c r="P141" s="42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75">
      <c r="A142" s="42"/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42"/>
      <c r="M142" s="42"/>
      <c r="N142" s="42"/>
      <c r="O142" s="42"/>
      <c r="P142" s="42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75">
      <c r="A143" s="42"/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42"/>
      <c r="M143" s="42"/>
      <c r="N143" s="42"/>
      <c r="O143" s="42"/>
      <c r="P143" s="42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2.75">
      <c r="A144" s="42"/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42"/>
      <c r="M144" s="42"/>
      <c r="N144" s="42"/>
      <c r="O144" s="42"/>
      <c r="P144" s="42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2.75">
      <c r="A145" s="42"/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42"/>
      <c r="M145" s="42"/>
      <c r="N145" s="42"/>
      <c r="O145" s="42"/>
      <c r="P145" s="42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2.75">
      <c r="A146" s="42"/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42"/>
      <c r="M146" s="42"/>
      <c r="N146" s="42"/>
      <c r="O146" s="42"/>
      <c r="P146" s="42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2.75">
      <c r="A147" s="42"/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42"/>
      <c r="M147" s="42"/>
      <c r="N147" s="42"/>
      <c r="O147" s="42"/>
      <c r="P147" s="42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2.75">
      <c r="A148" s="42"/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  <c r="L148" s="42"/>
      <c r="M148" s="42"/>
      <c r="N148" s="42"/>
      <c r="O148" s="42"/>
      <c r="P148" s="42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2.75">
      <c r="A149" s="42"/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42"/>
      <c r="M149" s="42"/>
      <c r="N149" s="42"/>
      <c r="O149" s="42"/>
      <c r="P149" s="42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2.75">
      <c r="A150" s="42"/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42"/>
      <c r="M150" s="42"/>
      <c r="N150" s="42"/>
      <c r="O150" s="42"/>
      <c r="P150" s="42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2.75">
      <c r="A151" s="42"/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42"/>
      <c r="M151" s="42"/>
      <c r="N151" s="42"/>
      <c r="O151" s="42"/>
      <c r="P151" s="42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2.75">
      <c r="A153" s="42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42"/>
      <c r="M153" s="42"/>
      <c r="N153" s="42"/>
      <c r="O153" s="42"/>
      <c r="P153" s="42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2.75">
      <c r="A154" s="42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42"/>
      <c r="M154" s="42"/>
      <c r="N154" s="42"/>
      <c r="O154" s="42"/>
      <c r="P154" s="42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2.75">
      <c r="A155" s="4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42"/>
      <c r="M155" s="42"/>
      <c r="N155" s="42"/>
      <c r="O155" s="42"/>
      <c r="P155" s="42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2.75">
      <c r="A156" s="42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42"/>
      <c r="M156" s="42"/>
      <c r="N156" s="42"/>
      <c r="O156" s="42"/>
      <c r="P156" s="42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2.75">
      <c r="A157" s="42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42"/>
      <c r="M157" s="42"/>
      <c r="N157" s="42"/>
      <c r="O157" s="42"/>
      <c r="P157" s="42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2.75">
      <c r="A158" s="42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42"/>
      <c r="M158" s="42"/>
      <c r="N158" s="42"/>
      <c r="O158" s="42"/>
      <c r="P158" s="42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2.75">
      <c r="A159" s="42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42"/>
      <c r="M159" s="42"/>
      <c r="N159" s="42"/>
      <c r="O159" s="42"/>
      <c r="P159" s="42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2.75">
      <c r="A160" s="42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42"/>
      <c r="M160" s="42"/>
      <c r="N160" s="42"/>
      <c r="O160" s="42"/>
      <c r="P160" s="42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2.75">
      <c r="A161" s="42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42"/>
      <c r="M161" s="42"/>
      <c r="N161" s="42"/>
      <c r="O161" s="42"/>
      <c r="P161" s="42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2.75">
      <c r="A162" s="42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42"/>
      <c r="M162" s="42"/>
      <c r="N162" s="42"/>
      <c r="O162" s="42"/>
      <c r="P162" s="42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2.75">
      <c r="A163" s="42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42"/>
      <c r="M163" s="42"/>
      <c r="N163" s="42"/>
      <c r="O163" s="42"/>
      <c r="P163" s="42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2.75">
      <c r="A164" s="42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42"/>
      <c r="M164" s="42"/>
      <c r="N164" s="42"/>
      <c r="O164" s="42"/>
      <c r="P164" s="42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2.75">
      <c r="A165" s="42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42"/>
      <c r="M165" s="42"/>
      <c r="N165" s="42"/>
      <c r="O165" s="42"/>
      <c r="P165" s="42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2.75">
      <c r="A166" s="42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42"/>
      <c r="M166" s="42"/>
      <c r="N166" s="42"/>
      <c r="O166" s="42"/>
      <c r="P166" s="42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2.75">
      <c r="A168" s="42"/>
      <c r="B168" s="42"/>
      <c r="C168" s="42"/>
      <c r="D168" s="42"/>
      <c r="E168" s="45"/>
      <c r="F168" s="45"/>
      <c r="G168" s="45"/>
      <c r="H168" s="45"/>
      <c r="I168" s="45"/>
      <c r="J168" s="45"/>
      <c r="K168" s="45"/>
      <c r="L168" s="42"/>
      <c r="M168" s="42"/>
      <c r="N168" s="42"/>
      <c r="O168" s="42"/>
      <c r="P168" s="42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2.75">
      <c r="A169" s="42"/>
      <c r="B169" s="42"/>
      <c r="C169" s="42"/>
      <c r="D169" s="42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42"/>
      <c r="P169" s="42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2.75">
      <c r="A170" s="42"/>
      <c r="B170" s="42"/>
      <c r="C170" s="42"/>
      <c r="D170" s="42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42"/>
      <c r="P170" s="42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2.75">
      <c r="A171" s="42"/>
      <c r="B171" s="42"/>
      <c r="C171" s="42"/>
      <c r="D171" s="42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42"/>
      <c r="P171" s="42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2.75">
      <c r="A172" s="42"/>
      <c r="B172" s="42"/>
      <c r="C172" s="42"/>
      <c r="D172" s="42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42"/>
      <c r="P172" s="42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2.75">
      <c r="A173" s="42"/>
      <c r="B173" s="42"/>
      <c r="C173" s="42"/>
      <c r="D173" s="42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42"/>
      <c r="P173" s="42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2.75">
      <c r="A174" s="42"/>
      <c r="B174" s="42"/>
      <c r="C174" s="42"/>
      <c r="D174" s="42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42"/>
      <c r="P174" s="42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2.75">
      <c r="A175" s="42"/>
      <c r="B175" s="42"/>
      <c r="C175" s="42"/>
      <c r="D175" s="42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42"/>
      <c r="P175" s="42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2.75">
      <c r="A176" s="42"/>
      <c r="B176" s="42"/>
      <c r="C176" s="42"/>
      <c r="D176" s="42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42"/>
      <c r="P176" s="42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2.75">
      <c r="A177" s="42"/>
      <c r="B177" s="42"/>
      <c r="C177" s="42"/>
      <c r="D177" s="42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42"/>
      <c r="P177" s="42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2.75">
      <c r="A178" s="42"/>
      <c r="B178" s="42"/>
      <c r="C178" s="42"/>
      <c r="D178" s="42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42"/>
      <c r="P178" s="42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9:28" ht="12.75"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9:28" ht="12.75"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9:28" ht="12.75"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9:28" ht="12.75"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9:28" ht="12.75"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9:28" ht="12.75"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9:28" ht="12.75"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9:28" ht="12.75"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9:28" ht="12.75"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9:28" ht="12.75"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9:28" ht="12.75"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9:28" ht="12.75"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9:28" ht="12.75"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9:28" ht="12.75"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9:28" ht="12.75"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9:28" ht="12.75"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9:28" ht="12.75"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9:28" ht="12.75"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9:28" ht="12.75"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9:28" ht="12.75"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9:28" ht="12.75"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9:28" ht="12.75"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9:28" ht="12.75"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9:28" ht="12.75"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9:28" ht="12.75"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9:28" ht="12.75"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9:28" ht="12.75"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9:28" ht="12.75"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9:28" ht="12.75"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9:28" ht="12.75"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9:28" ht="12.75"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9:28" ht="12.75"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9:28" ht="12.75"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9:28" ht="12.75"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9:28" ht="12.75"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9:28" ht="12.75"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9:28" ht="12.75"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9:28" ht="12.75"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9:28" ht="12.75"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9:28" ht="12.75"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9:28" ht="12.75"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9:28" ht="12.75"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9:28" ht="12.75"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9:28" ht="12.75"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9:28" ht="12.75"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9:28" ht="12.75"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9:28" ht="12.75"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9:28" ht="12.75"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9:28" ht="12.75"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9:28" ht="12.75"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9:28" ht="12.75"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9:28" ht="12.75"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9:28" ht="12.75"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9:28" ht="12.75"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9:28" ht="12.75"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9:28" ht="12.75"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9:28" ht="12.75"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9:28" ht="12.75"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9:28" ht="12.75"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9:28" ht="12.75"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9:28" ht="12.75"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9:28" ht="12.75"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9:28" ht="12.75"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9:28" ht="12.75"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9:28" ht="12.75"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9:28" ht="12.75"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9:28" ht="12.75"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9:28" ht="12.75"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9:28" ht="12.75"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9:28" ht="12.75"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9:28" ht="12.75"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9:28" ht="12.75"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9:28" ht="12.75"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9:28" ht="12.75"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9:28" ht="12.75"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9:28" ht="12.75"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9:28" ht="12.75"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9:28" ht="12.75"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9:28" ht="12.75"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9:28" ht="12.75"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9:28" ht="12.75"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9:28" ht="12.75"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9:28" ht="12.75"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9:28" ht="12.75"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9:28" ht="12.75"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9:28" ht="12.75"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9:28" ht="12.75"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9:28" ht="12.75"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9:28" ht="12.75"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9:28" ht="12.75"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9:28" ht="12.75"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9:28" ht="12.75"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9:28" ht="12.75"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9:28" ht="12.75"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9:28" ht="12.75"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9:28" ht="12.75"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9:28" ht="12.75"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9:28" ht="12.75"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9:28" ht="12.75"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9:28" ht="12.75"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9:28" ht="12.75"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9:28" ht="12.75"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9:28" ht="12.75"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9:28" ht="12.75"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9:28" ht="12.75"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9:28" ht="12.75"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9:28" ht="12.75"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9:28" ht="12.75"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9:28" ht="12.75"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9:28" ht="12.75"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9:28" ht="12.75"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9:28" ht="12.75"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9:28" ht="12.75"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9:28" ht="12.75"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9:28" ht="12.75"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9:28" ht="12.75"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9:28" ht="12.75"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9:28" ht="12.75"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9:28" ht="12.75"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9:28" ht="12.75"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9:28" ht="12.75"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9:28" ht="12.75"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9:28" ht="12.75"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9:28" ht="12.75"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9:28" ht="12.75"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9:28" ht="12.75"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9:28" ht="12.75"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9:28" ht="12.75"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9:28" ht="12.75"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9:28" ht="12.75"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9:28" ht="12.75"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9:28" ht="12.75"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9:28" ht="12.75"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9:28" ht="12.75"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9:28" ht="12.75"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9:28" ht="12.75"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9:28" ht="12.75"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9:28" ht="12.75"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9:28" ht="12.75"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9:28" ht="12.75"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9:28" ht="12.75"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9:28" ht="12.75"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9:28" ht="12.75"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9:28" ht="12.75"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9:28" ht="12.75"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9:28" ht="12.75"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9:28" ht="12.75"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9:28" ht="12.75"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9:28" ht="12.75"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9:28" ht="12.75"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9:28" ht="12.75"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9:28" ht="12.75"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9:28" ht="12.75"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9:28" ht="12.75"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9:28" ht="12.75"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9:28" ht="12.75"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9:28" ht="12.75"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9:28" ht="12.75"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9:28" ht="12.75"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9:28" ht="12.75"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9:28" ht="12.75"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9:28" ht="12.75"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9:28" ht="12.75"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9:28" ht="12.75"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9:28" ht="12.75"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9:28" ht="12.75"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9:28" ht="12.75"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9:28" ht="12.75"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9:28" ht="12.75"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9:28" ht="12.75"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9:28" ht="12.75"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9:28" ht="12.75"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9:28" ht="12.75"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9:28" ht="12.75"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9:28" ht="12.75"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9:28" ht="12.75"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9:28" ht="12.75"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9:28" ht="12.75"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9:28" ht="12.75"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9:28" ht="12.75"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9:28" ht="12.75"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9:28" ht="12.75"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9:28" ht="12.75"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9:28" ht="12.75"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9:28" ht="12.75"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9:28" ht="12.75"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9:28" ht="12.75"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9:28" ht="12.75"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9:28" ht="12.75"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9:28" ht="12.75"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9:28" ht="12.75"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9:28" ht="12.75"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9:28" ht="12.75"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9:28" ht="12.75"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9:28" ht="12.75"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9:28" ht="12.75"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9:28" ht="12.75"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9:28" ht="12.75"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9:28" ht="12.75"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9:28" ht="12.75"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9:28" ht="12.75"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9:28" ht="12.75"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9:28" ht="12.75"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9:28" ht="12.75"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9:28" ht="12.75"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9:28" ht="12.75"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9:28" ht="12.75"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9:28" ht="12.75"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9:28" ht="12.75"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9:28" ht="12.75"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9:28" ht="12.75"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9:28" ht="12.75"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9:28" ht="12.75"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9:28" ht="12.75"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9:28" ht="12.75"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9:28" ht="12.75"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9:28" ht="12.75"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9:28" ht="12.75"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9:28" ht="12.75"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9:28" ht="12.75"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9:28" ht="12.75"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9:28" ht="12.75"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9:28" ht="12.75"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9:28" ht="12.75"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9:28" ht="12.75"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9:28" ht="12.75"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9:28" ht="12.75"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9:28" ht="12.75"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9:28" ht="12.75"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9:28" ht="12.75"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9:28" ht="12.75"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9:28" ht="12.75"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9:28" ht="12.75"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9:28" ht="12.75"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9:28" ht="12.75"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9:28" ht="12.75"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9:28" ht="12.75"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9:28" ht="12.75"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9:28" ht="12.75"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9:28" ht="12.75"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9:28" ht="12.75"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9:28" ht="12.75"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9:28" ht="12.75"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9:28" ht="12.75"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9:28" ht="12.75"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9:28" ht="12.75"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9:28" ht="12.75"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9:28" ht="12.75"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9:28" ht="12.75"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9:28" ht="12.75"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9:28" ht="12.75"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9:28" ht="12.75"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9:28" ht="12.75"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9:28" ht="12.75"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9:28" ht="12.75"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9:28" ht="12.75"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9:28" ht="12.75"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9:28" ht="12.75"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9:28" ht="12.75"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9:28" ht="12.75"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9:28" ht="12.75"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9:28" ht="12.75"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9:28" ht="12.75"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9:28" ht="12.75"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9:28" ht="12.75"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9:28" ht="12.75"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9:28" ht="12.75"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9:28" ht="12.75"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9:28" ht="12.75"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9:28" ht="12.75"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9:28" ht="12.75"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9:28" ht="12.75"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9:28" ht="12.75"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9:28" ht="12.75"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9:28" ht="12.75"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9:28" ht="12.75"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9:28" ht="12.75"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9:28" ht="12.75"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9:28" ht="12.75"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9:28" ht="12.75"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9:28" ht="12.75"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9:28" ht="12.75"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9:28" ht="12.75"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9:28" ht="12.75"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9:28" ht="12.75"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9:28" ht="12.75"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9:28" ht="12.75"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9:28" ht="12.75"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9:28" ht="12.75"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9:28" ht="12.75"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9:28" ht="12.75"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9:28" ht="12.75"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9:28" ht="12.75"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9:28" ht="12.75"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9:28" ht="12.75"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9:28" ht="12.75"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9:28" ht="12.75"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9:28" ht="12.75"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9:28" ht="12.75"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9:28" ht="12.75"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9:28" ht="12.75"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9:28" ht="12.75"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9:28" ht="12.75"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9:28" ht="12.75"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9:28" ht="12.75"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9:28" ht="12.75"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9:28" ht="12.75"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9:28" ht="12.75"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9:28" ht="12.75"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9:28" ht="12.75"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9:28" ht="12.75"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9:28" ht="12.75">
      <c r="S500" s="4"/>
      <c r="T500" s="4"/>
      <c r="U500" s="4"/>
      <c r="V500" s="4"/>
      <c r="W500" s="4"/>
      <c r="X500" s="4"/>
      <c r="Y500" s="4"/>
      <c r="Z500" s="4"/>
      <c r="AA500" s="4"/>
      <c r="AB500" s="4"/>
    </row>
  </sheetData>
  <sheetProtection password="F582" sheet="1" objects="1" scenarios="1"/>
  <conditionalFormatting sqref="B66:K66">
    <cfRule type="cellIs" priority="1" dxfId="13" operator="greaterThan" stopIfTrue="1">
      <formula>$B$67</formula>
    </cfRule>
    <cfRule type="cellIs" priority="2" dxfId="5" operator="lessThan" stopIfTrue="1">
      <formula>$B$67</formula>
    </cfRule>
  </conditionalFormatting>
  <conditionalFormatting sqref="B51:K60 X7:X106">
    <cfRule type="cellIs" priority="3" dxfId="0" operator="equal" stopIfTrue="1">
      <formula>0</formula>
    </cfRule>
  </conditionalFormatting>
  <conditionalFormatting sqref="G131">
    <cfRule type="cellIs" priority="4" dxfId="5" operator="notEqual" stopIfTrue="1">
      <formula>100</formula>
    </cfRule>
  </conditionalFormatting>
  <printOptions/>
  <pageMargins left="0.75" right="0.75" top="1" bottom="1" header="0.4921259845" footer="0.4921259845"/>
  <pageSetup horizontalDpi="600" verticalDpi="600" orientation="portrait" paperSize="9" scale="71" r:id="rId3"/>
  <colBreaks count="1" manualBreakCount="1">
    <brk id="1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01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8" width="10.7109375" style="1" customWidth="1"/>
    <col min="9" max="9" width="10.8515625" style="1" customWidth="1"/>
    <col min="10" max="10" width="10.7109375" style="1" hidden="1" customWidth="1"/>
    <col min="11" max="21" width="11.421875" style="1" hidden="1" customWidth="1"/>
    <col min="22" max="16384" width="11.421875" style="1" customWidth="1"/>
  </cols>
  <sheetData>
    <row r="1" spans="1:20" ht="12.75">
      <c r="A1" s="4" t="s">
        <v>4</v>
      </c>
      <c r="B1" s="178" t="s">
        <v>5</v>
      </c>
      <c r="C1" s="4" t="s">
        <v>8</v>
      </c>
      <c r="D1" s="4" t="s">
        <v>32</v>
      </c>
      <c r="E1" s="4" t="s">
        <v>31</v>
      </c>
      <c r="F1" s="4" t="s">
        <v>135</v>
      </c>
      <c r="G1" s="4" t="s">
        <v>137</v>
      </c>
      <c r="H1" s="4" t="s">
        <v>138</v>
      </c>
      <c r="I1" s="4"/>
      <c r="J1" s="4"/>
      <c r="K1" s="1" t="str">
        <f>A$1</f>
        <v>Baumart</v>
      </c>
      <c r="L1" s="4" t="str">
        <f aca="true" t="shared" si="0" ref="L1:T1">B$1</f>
        <v>Ri-%</v>
      </c>
      <c r="M1" s="1" t="str">
        <f t="shared" si="0"/>
        <v>Klassifizierung</v>
      </c>
      <c r="N1" s="1" t="str">
        <f t="shared" si="0"/>
        <v>atro/FMO</v>
      </c>
      <c r="O1" s="1" t="str">
        <f t="shared" si="0"/>
        <v>atro/FOO</v>
      </c>
      <c r="P1" s="1" t="str">
        <f t="shared" si="0"/>
        <v>H-Gehalt</v>
      </c>
      <c r="Q1" s="1" t="str">
        <f t="shared" si="0"/>
        <v>Brennwert</v>
      </c>
      <c r="R1" s="1" t="str">
        <f t="shared" si="0"/>
        <v>Schwindmaß</v>
      </c>
      <c r="S1" s="1">
        <f t="shared" si="0"/>
        <v>0</v>
      </c>
      <c r="T1" s="1">
        <f t="shared" si="0"/>
        <v>0</v>
      </c>
    </row>
    <row r="2" spans="1:13" ht="12.75">
      <c r="A2" s="4" t="s">
        <v>15</v>
      </c>
      <c r="B2" s="179">
        <v>0.1</v>
      </c>
      <c r="C2" s="4" t="s">
        <v>33</v>
      </c>
      <c r="D2" s="4">
        <v>633</v>
      </c>
      <c r="E2" s="4">
        <v>600</v>
      </c>
      <c r="F2" s="180">
        <v>0.06</v>
      </c>
      <c r="G2" s="4">
        <v>19.3</v>
      </c>
      <c r="H2" s="180">
        <v>0.126</v>
      </c>
      <c r="I2" s="4"/>
      <c r="J2" s="4"/>
      <c r="K2" s="1" t="str">
        <f>'Eingabe und Berechnung'!$B$3</f>
        <v>Fichte</v>
      </c>
      <c r="M2" s="1" t="str">
        <f>'Eingabe und Berechnung'!$B$4</f>
        <v>IH</v>
      </c>
    </row>
    <row r="3" spans="1:10" ht="12.75">
      <c r="A3" s="4" t="s">
        <v>16</v>
      </c>
      <c r="B3" s="179">
        <v>0.12</v>
      </c>
      <c r="C3" s="4" t="s">
        <v>33</v>
      </c>
      <c r="D3" s="4">
        <v>479</v>
      </c>
      <c r="E3" s="4">
        <v>450</v>
      </c>
      <c r="F3" s="180">
        <v>0.06</v>
      </c>
      <c r="G3" s="4">
        <v>19.3</v>
      </c>
      <c r="H3" s="180">
        <v>0.12</v>
      </c>
      <c r="I3" s="4"/>
      <c r="J3" s="4"/>
    </row>
    <row r="4" spans="1:20" ht="12.75">
      <c r="A4" s="4" t="s">
        <v>17</v>
      </c>
      <c r="B4" s="179">
        <v>0.12</v>
      </c>
      <c r="C4" s="4" t="s">
        <v>33</v>
      </c>
      <c r="D4" s="4">
        <v>585</v>
      </c>
      <c r="E4" s="4">
        <v>640</v>
      </c>
      <c r="F4" s="180">
        <v>0.06</v>
      </c>
      <c r="G4" s="4">
        <v>19.3</v>
      </c>
      <c r="H4" s="180">
        <v>0.139</v>
      </c>
      <c r="I4" s="4"/>
      <c r="J4" s="4"/>
      <c r="K4" s="1" t="str">
        <f aca="true" t="shared" si="1" ref="K4:T4">A$1</f>
        <v>Baumart</v>
      </c>
      <c r="L4" s="4" t="str">
        <f t="shared" si="1"/>
        <v>Ri-%</v>
      </c>
      <c r="M4" s="1" t="str">
        <f t="shared" si="1"/>
        <v>Klassifizierung</v>
      </c>
      <c r="N4" s="1" t="str">
        <f t="shared" si="1"/>
        <v>atro/FMO</v>
      </c>
      <c r="O4" s="1" t="str">
        <f t="shared" si="1"/>
        <v>atro/FOO</v>
      </c>
      <c r="P4" s="1" t="str">
        <f t="shared" si="1"/>
        <v>H-Gehalt</v>
      </c>
      <c r="Q4" s="1" t="str">
        <f t="shared" si="1"/>
        <v>Brennwert</v>
      </c>
      <c r="R4" s="1" t="str">
        <f t="shared" si="1"/>
        <v>Schwindmaß</v>
      </c>
      <c r="S4" s="1">
        <f t="shared" si="1"/>
        <v>0</v>
      </c>
      <c r="T4" s="1">
        <f t="shared" si="1"/>
        <v>0</v>
      </c>
    </row>
    <row r="5" spans="1:13" ht="12.75">
      <c r="A5" s="4" t="s">
        <v>18</v>
      </c>
      <c r="B5" s="179">
        <v>0.15</v>
      </c>
      <c r="C5" s="4" t="s">
        <v>33</v>
      </c>
      <c r="D5" s="4">
        <v>741</v>
      </c>
      <c r="E5" s="4">
        <v>670</v>
      </c>
      <c r="F5" s="180">
        <v>0.06</v>
      </c>
      <c r="G5" s="4">
        <v>19.3</v>
      </c>
      <c r="H5" s="180">
        <v>0.136</v>
      </c>
      <c r="I5" s="4"/>
      <c r="J5" s="4"/>
      <c r="K5" s="1" t="str">
        <f>'Eingabe und Berechnung'!$B$3</f>
        <v>Fichte</v>
      </c>
      <c r="M5" s="1" t="str">
        <f>'Eingabe und Berechnung'!$B$4</f>
        <v>IH</v>
      </c>
    </row>
    <row r="6" spans="1:10" ht="12.75">
      <c r="A6" s="4" t="s">
        <v>19</v>
      </c>
      <c r="B6" s="179">
        <v>0.15</v>
      </c>
      <c r="C6" s="4" t="s">
        <v>33</v>
      </c>
      <c r="D6" s="4">
        <v>541</v>
      </c>
      <c r="E6" s="4">
        <v>490</v>
      </c>
      <c r="F6" s="180">
        <v>0.06</v>
      </c>
      <c r="G6" s="4">
        <v>19.3</v>
      </c>
      <c r="H6" s="180">
        <v>0.131</v>
      </c>
      <c r="I6" s="4"/>
      <c r="J6" s="4"/>
    </row>
    <row r="7" spans="1:11" ht="12.75">
      <c r="A7" s="4" t="s">
        <v>20</v>
      </c>
      <c r="B7" s="179">
        <v>0.14</v>
      </c>
      <c r="C7" s="4" t="s">
        <v>33</v>
      </c>
      <c r="D7" s="4">
        <v>755</v>
      </c>
      <c r="E7" s="4">
        <v>670</v>
      </c>
      <c r="F7" s="180">
        <v>0.06</v>
      </c>
      <c r="G7" s="4">
        <v>19.3</v>
      </c>
      <c r="H7" s="180">
        <v>0.132</v>
      </c>
      <c r="I7" s="4"/>
      <c r="J7" s="4"/>
      <c r="K7" s="117" t="s">
        <v>142</v>
      </c>
    </row>
    <row r="8" spans="1:18" ht="12.75">
      <c r="A8" s="4" t="s">
        <v>1</v>
      </c>
      <c r="B8" s="179">
        <v>0.12</v>
      </c>
      <c r="C8" s="4" t="s">
        <v>33</v>
      </c>
      <c r="D8" s="4">
        <v>475</v>
      </c>
      <c r="E8" s="4">
        <v>430</v>
      </c>
      <c r="F8" s="180">
        <v>0.062</v>
      </c>
      <c r="G8" s="4">
        <v>20.4</v>
      </c>
      <c r="H8" s="180">
        <v>0.117</v>
      </c>
      <c r="I8" s="4"/>
      <c r="J8" s="4"/>
      <c r="K8" s="1" t="str">
        <f aca="true" t="shared" si="2" ref="K8:R8">A$1</f>
        <v>Baumart</v>
      </c>
      <c r="L8" s="1" t="str">
        <f t="shared" si="2"/>
        <v>Ri-%</v>
      </c>
      <c r="M8" s="1" t="str">
        <f t="shared" si="2"/>
        <v>Klassifizierung</v>
      </c>
      <c r="N8" s="1" t="str">
        <f t="shared" si="2"/>
        <v>atro/FMO</v>
      </c>
      <c r="O8" s="1" t="str">
        <f t="shared" si="2"/>
        <v>atro/FOO</v>
      </c>
      <c r="P8" s="1" t="str">
        <f t="shared" si="2"/>
        <v>H-Gehalt</v>
      </c>
      <c r="Q8" s="1" t="str">
        <f t="shared" si="2"/>
        <v>Brennwert</v>
      </c>
      <c r="R8" s="1" t="str">
        <f t="shared" si="2"/>
        <v>Schwindmaß</v>
      </c>
    </row>
    <row r="9" spans="1:13" ht="12.75">
      <c r="A9" s="4" t="s">
        <v>1</v>
      </c>
      <c r="B9" s="179">
        <v>0.12</v>
      </c>
      <c r="C9" s="4" t="s">
        <v>9</v>
      </c>
      <c r="D9" s="4">
        <v>475</v>
      </c>
      <c r="E9" s="4">
        <v>430</v>
      </c>
      <c r="F9" s="180">
        <v>0.062</v>
      </c>
      <c r="G9" s="4">
        <v>20.4</v>
      </c>
      <c r="H9" s="180">
        <v>0.117</v>
      </c>
      <c r="I9" s="4"/>
      <c r="J9" s="4"/>
      <c r="K9" s="1" t="str">
        <f>'Eingabe und Berechnung'!$B$3</f>
        <v>Fichte</v>
      </c>
      <c r="M9" s="1" t="str">
        <f>'Eingabe und Berechnung'!$B$4</f>
        <v>IH</v>
      </c>
    </row>
    <row r="10" spans="1:18" ht="12.75">
      <c r="A10" s="4" t="s">
        <v>1</v>
      </c>
      <c r="B10" s="179">
        <v>0.12</v>
      </c>
      <c r="C10" s="4" t="s">
        <v>10</v>
      </c>
      <c r="D10" s="4">
        <v>475</v>
      </c>
      <c r="E10" s="4">
        <v>430</v>
      </c>
      <c r="F10" s="180">
        <v>0.062</v>
      </c>
      <c r="G10" s="4">
        <v>20.4</v>
      </c>
      <c r="H10" s="180">
        <v>0.117</v>
      </c>
      <c r="I10" s="4"/>
      <c r="J10" s="4"/>
      <c r="K10" s="1" t="str">
        <f aca="true" t="shared" si="3" ref="K10:R10">A$1</f>
        <v>Baumart</v>
      </c>
      <c r="L10" s="1" t="str">
        <f t="shared" si="3"/>
        <v>Ri-%</v>
      </c>
      <c r="M10" s="1" t="str">
        <f t="shared" si="3"/>
        <v>Klassifizierung</v>
      </c>
      <c r="N10" s="1" t="str">
        <f t="shared" si="3"/>
        <v>atro/FMO</v>
      </c>
      <c r="O10" s="1" t="str">
        <f t="shared" si="3"/>
        <v>atro/FOO</v>
      </c>
      <c r="P10" s="1" t="str">
        <f t="shared" si="3"/>
        <v>H-Gehalt</v>
      </c>
      <c r="Q10" s="1" t="str">
        <f t="shared" si="3"/>
        <v>Brennwert</v>
      </c>
      <c r="R10" s="1" t="str">
        <f t="shared" si="3"/>
        <v>Schwindmaß</v>
      </c>
    </row>
    <row r="11" spans="1:13" ht="12.75">
      <c r="A11" s="4" t="s">
        <v>1</v>
      </c>
      <c r="B11" s="179">
        <v>0.12</v>
      </c>
      <c r="C11" s="4" t="s">
        <v>11</v>
      </c>
      <c r="D11" s="4">
        <v>475</v>
      </c>
      <c r="E11" s="4">
        <v>430</v>
      </c>
      <c r="F11" s="180">
        <v>0.062</v>
      </c>
      <c r="G11" s="4">
        <v>20.4</v>
      </c>
      <c r="H11" s="180">
        <v>0.117</v>
      </c>
      <c r="I11" s="4"/>
      <c r="J11" s="4"/>
      <c r="K11" s="1" t="str">
        <f>'Eingabe und Berechnung'!AL66</f>
        <v>Rotbuche</v>
      </c>
      <c r="M11" s="1" t="str">
        <f>'Eingabe und Berechnung'!$B$4</f>
        <v>IH</v>
      </c>
    </row>
    <row r="12" spans="1:10" ht="12.75">
      <c r="A12" s="4" t="s">
        <v>1</v>
      </c>
      <c r="B12" s="179">
        <v>0.12</v>
      </c>
      <c r="C12" s="4" t="s">
        <v>12</v>
      </c>
      <c r="D12" s="4">
        <v>475</v>
      </c>
      <c r="E12" s="4">
        <v>430</v>
      </c>
      <c r="F12" s="180">
        <v>0.062</v>
      </c>
      <c r="G12" s="4">
        <v>20.4</v>
      </c>
      <c r="H12" s="180">
        <v>0.117</v>
      </c>
      <c r="I12" s="4"/>
      <c r="J12" s="4"/>
    </row>
    <row r="13" spans="1:10" ht="12.75">
      <c r="A13" s="4" t="s">
        <v>21</v>
      </c>
      <c r="B13" s="179">
        <v>0.08</v>
      </c>
      <c r="C13" s="4" t="s">
        <v>33</v>
      </c>
      <c r="D13" s="4">
        <v>739</v>
      </c>
      <c r="E13" s="4">
        <v>750</v>
      </c>
      <c r="F13" s="180">
        <v>0.06</v>
      </c>
      <c r="G13" s="4">
        <v>19.3</v>
      </c>
      <c r="H13" s="180">
        <v>0.188</v>
      </c>
      <c r="I13" s="4"/>
      <c r="J13" s="4"/>
    </row>
    <row r="14" spans="1:11" ht="12.75">
      <c r="A14" s="4" t="s">
        <v>2</v>
      </c>
      <c r="B14" s="179">
        <v>0.13</v>
      </c>
      <c r="C14" s="4" t="s">
        <v>33</v>
      </c>
      <c r="D14" s="4">
        <v>570</v>
      </c>
      <c r="E14" s="4">
        <v>510</v>
      </c>
      <c r="F14" s="180">
        <v>0.062</v>
      </c>
      <c r="G14" s="4">
        <v>20.4</v>
      </c>
      <c r="H14" s="180">
        <v>0.121</v>
      </c>
      <c r="I14" s="4"/>
      <c r="J14" s="4"/>
      <c r="K14" s="117" t="s">
        <v>159</v>
      </c>
    </row>
    <row r="15" spans="1:11" ht="12.75">
      <c r="A15" s="4" t="s">
        <v>2</v>
      </c>
      <c r="B15" s="179">
        <v>0.13</v>
      </c>
      <c r="C15" s="4" t="s">
        <v>9</v>
      </c>
      <c r="D15" s="4">
        <v>570</v>
      </c>
      <c r="E15" s="4">
        <v>510</v>
      </c>
      <c r="F15" s="180">
        <v>0.062</v>
      </c>
      <c r="G15" s="4">
        <v>20.4</v>
      </c>
      <c r="H15" s="180">
        <v>0.121</v>
      </c>
      <c r="I15" s="4"/>
      <c r="J15" s="4"/>
      <c r="K15" s="1" t="s">
        <v>160</v>
      </c>
    </row>
    <row r="16" spans="1:10" ht="12.75">
      <c r="A16" s="4" t="s">
        <v>2</v>
      </c>
      <c r="B16" s="179">
        <v>0.13</v>
      </c>
      <c r="C16" s="4" t="s">
        <v>10</v>
      </c>
      <c r="D16" s="4">
        <v>570</v>
      </c>
      <c r="E16" s="4">
        <v>510</v>
      </c>
      <c r="F16" s="180">
        <v>0.062</v>
      </c>
      <c r="G16" s="4">
        <v>20.4</v>
      </c>
      <c r="H16" s="180">
        <v>0.121</v>
      </c>
      <c r="I16" s="4"/>
      <c r="J16" s="4"/>
    </row>
    <row r="17" spans="1:10" ht="12.75">
      <c r="A17" s="4" t="s">
        <v>2</v>
      </c>
      <c r="B17" s="179">
        <v>0.13</v>
      </c>
      <c r="C17" s="4" t="s">
        <v>11</v>
      </c>
      <c r="D17" s="4">
        <v>570</v>
      </c>
      <c r="E17" s="4">
        <v>510</v>
      </c>
      <c r="F17" s="180">
        <v>0.062</v>
      </c>
      <c r="G17" s="4">
        <v>20.4</v>
      </c>
      <c r="H17" s="180">
        <v>0.121</v>
      </c>
      <c r="I17" s="4"/>
      <c r="J17" s="4"/>
    </row>
    <row r="18" spans="1:10" ht="12.75">
      <c r="A18" s="4" t="s">
        <v>2</v>
      </c>
      <c r="B18" s="179">
        <v>0.13</v>
      </c>
      <c r="C18" s="4" t="s">
        <v>12</v>
      </c>
      <c r="D18" s="4">
        <v>570</v>
      </c>
      <c r="E18" s="4">
        <v>510</v>
      </c>
      <c r="F18" s="180">
        <v>0.062</v>
      </c>
      <c r="G18" s="4">
        <v>20.4</v>
      </c>
      <c r="H18" s="180">
        <v>0.121</v>
      </c>
      <c r="I18" s="4"/>
      <c r="J18" s="4"/>
    </row>
    <row r="19" spans="1:10" ht="12.75">
      <c r="A19" s="4" t="s">
        <v>7</v>
      </c>
      <c r="B19" s="179">
        <v>0.13</v>
      </c>
      <c r="C19" s="4" t="s">
        <v>33</v>
      </c>
      <c r="D19" s="4">
        <v>625</v>
      </c>
      <c r="E19" s="4">
        <v>550</v>
      </c>
      <c r="F19" s="180">
        <v>0.062</v>
      </c>
      <c r="G19" s="4">
        <v>20.4</v>
      </c>
      <c r="H19" s="180">
        <v>0.114</v>
      </c>
      <c r="I19" s="4"/>
      <c r="J19" s="4"/>
    </row>
    <row r="20" spans="1:10" ht="12.75">
      <c r="A20" s="4" t="s">
        <v>7</v>
      </c>
      <c r="B20" s="179">
        <v>0.13</v>
      </c>
      <c r="C20" s="4" t="s">
        <v>9</v>
      </c>
      <c r="D20" s="4">
        <v>625</v>
      </c>
      <c r="E20" s="4">
        <v>550</v>
      </c>
      <c r="F20" s="180">
        <v>0.062</v>
      </c>
      <c r="G20" s="4">
        <v>20.4</v>
      </c>
      <c r="H20" s="180">
        <v>0.114</v>
      </c>
      <c r="I20" s="4"/>
      <c r="J20" s="4"/>
    </row>
    <row r="21" spans="1:10" ht="12.75">
      <c r="A21" s="4" t="s">
        <v>7</v>
      </c>
      <c r="B21" s="179">
        <v>0.13</v>
      </c>
      <c r="C21" s="4" t="s">
        <v>10</v>
      </c>
      <c r="D21" s="4">
        <v>625</v>
      </c>
      <c r="E21" s="4">
        <v>550</v>
      </c>
      <c r="F21" s="180">
        <v>0.062</v>
      </c>
      <c r="G21" s="4">
        <v>20.4</v>
      </c>
      <c r="H21" s="180">
        <v>0.114</v>
      </c>
      <c r="I21" s="4"/>
      <c r="J21" s="4"/>
    </row>
    <row r="22" spans="1:10" ht="12.75">
      <c r="A22" s="4" t="s">
        <v>7</v>
      </c>
      <c r="B22" s="179">
        <v>0.13</v>
      </c>
      <c r="C22" s="4" t="s">
        <v>11</v>
      </c>
      <c r="D22" s="4">
        <v>625</v>
      </c>
      <c r="E22" s="4">
        <v>550</v>
      </c>
      <c r="F22" s="180">
        <v>0.062</v>
      </c>
      <c r="G22" s="4">
        <v>20.4</v>
      </c>
      <c r="H22" s="180">
        <v>0.114</v>
      </c>
      <c r="I22" s="4"/>
      <c r="J22" s="4"/>
    </row>
    <row r="23" spans="1:10" ht="12.75">
      <c r="A23" s="4" t="s">
        <v>7</v>
      </c>
      <c r="B23" s="179">
        <v>0.13</v>
      </c>
      <c r="C23" s="4" t="s">
        <v>12</v>
      </c>
      <c r="D23" s="4">
        <v>625</v>
      </c>
      <c r="E23" s="4">
        <v>550</v>
      </c>
      <c r="F23" s="180">
        <v>0.062</v>
      </c>
      <c r="G23" s="4">
        <v>20.4</v>
      </c>
      <c r="H23" s="180">
        <v>0.114</v>
      </c>
      <c r="I23" s="4"/>
      <c r="J23" s="4"/>
    </row>
    <row r="24" spans="1:10" ht="12.75">
      <c r="A24" s="4" t="s">
        <v>26</v>
      </c>
      <c r="B24" s="179">
        <v>0.112</v>
      </c>
      <c r="C24" s="4" t="s">
        <v>33</v>
      </c>
      <c r="D24" s="181">
        <f>$L$34</f>
        <v>693.3333333333334</v>
      </c>
      <c r="E24" s="181">
        <f>$M$34</f>
        <v>615.8333333333334</v>
      </c>
      <c r="F24" s="180">
        <v>0.06</v>
      </c>
      <c r="G24" s="4">
        <v>19.3</v>
      </c>
      <c r="H24" s="180">
        <f>$P$34</f>
        <v>0.15</v>
      </c>
      <c r="I24" s="4"/>
      <c r="J24" s="4"/>
    </row>
    <row r="25" spans="1:17" ht="12.75">
      <c r="A25" s="4" t="s">
        <v>26</v>
      </c>
      <c r="B25" s="179">
        <v>0.112</v>
      </c>
      <c r="C25" s="4" t="s">
        <v>9</v>
      </c>
      <c r="D25" s="181">
        <f>$L$34</f>
        <v>693.3333333333334</v>
      </c>
      <c r="E25" s="181">
        <f>$M$34</f>
        <v>615.8333333333334</v>
      </c>
      <c r="F25" s="180">
        <v>0.06</v>
      </c>
      <c r="G25" s="4">
        <v>19.3</v>
      </c>
      <c r="H25" s="180">
        <f>$P$34</f>
        <v>0.15</v>
      </c>
      <c r="I25" s="4"/>
      <c r="J25" s="4"/>
      <c r="K25" s="117" t="s">
        <v>64</v>
      </c>
      <c r="L25" s="1" t="s">
        <v>32</v>
      </c>
      <c r="M25" s="1" t="s">
        <v>68</v>
      </c>
      <c r="N25" s="1" t="str">
        <f>F1</f>
        <v>H-Gehalt</v>
      </c>
      <c r="O25" s="1" t="str">
        <f>G1</f>
        <v>Brennwert</v>
      </c>
      <c r="P25" s="1" t="str">
        <f>H1</f>
        <v>Schwindmaß</v>
      </c>
      <c r="Q25" s="1" t="s">
        <v>6</v>
      </c>
    </row>
    <row r="26" spans="1:17" ht="12.75">
      <c r="A26" s="4" t="s">
        <v>26</v>
      </c>
      <c r="B26" s="179">
        <v>0.112</v>
      </c>
      <c r="C26" s="4" t="s">
        <v>10</v>
      </c>
      <c r="D26" s="181">
        <f>$L$34</f>
        <v>693.3333333333334</v>
      </c>
      <c r="E26" s="181">
        <f>$M$34</f>
        <v>615.8333333333334</v>
      </c>
      <c r="F26" s="180">
        <v>0.06</v>
      </c>
      <c r="G26" s="4">
        <v>19.3</v>
      </c>
      <c r="H26" s="180">
        <f>$P$34</f>
        <v>0.15</v>
      </c>
      <c r="I26" s="4"/>
      <c r="J26" s="4"/>
      <c r="K26" s="1" t="s">
        <v>24</v>
      </c>
      <c r="L26" s="1">
        <v>707</v>
      </c>
      <c r="M26" s="1">
        <v>650</v>
      </c>
      <c r="N26" s="182">
        <f>F31</f>
        <v>0.06</v>
      </c>
      <c r="O26" s="183">
        <f>G31</f>
        <v>19.3</v>
      </c>
      <c r="P26" s="182">
        <f>H31</f>
        <v>0.179</v>
      </c>
      <c r="Q26" s="182">
        <v>0.08</v>
      </c>
    </row>
    <row r="27" spans="1:17" ht="12.75">
      <c r="A27" s="4" t="s">
        <v>26</v>
      </c>
      <c r="B27" s="179">
        <v>0.112</v>
      </c>
      <c r="C27" s="4" t="s">
        <v>11</v>
      </c>
      <c r="D27" s="181">
        <f>$L$34</f>
        <v>693.3333333333334</v>
      </c>
      <c r="E27" s="181">
        <f>$M$34</f>
        <v>615.8333333333334</v>
      </c>
      <c r="F27" s="180">
        <v>0.06</v>
      </c>
      <c r="G27" s="4">
        <v>19.3</v>
      </c>
      <c r="H27" s="180">
        <f>$P$34</f>
        <v>0.15</v>
      </c>
      <c r="I27" s="4"/>
      <c r="J27" s="4"/>
      <c r="K27" s="1" t="s">
        <v>65</v>
      </c>
      <c r="L27" s="1">
        <v>739</v>
      </c>
      <c r="M27" s="1">
        <v>680</v>
      </c>
      <c r="N27" s="182">
        <f>F13</f>
        <v>0.06</v>
      </c>
      <c r="O27" s="183">
        <f>G13</f>
        <v>19.3</v>
      </c>
      <c r="P27" s="182">
        <f>H13</f>
        <v>0.188</v>
      </c>
      <c r="Q27" s="182">
        <v>0.08</v>
      </c>
    </row>
    <row r="28" spans="1:17" ht="12.75">
      <c r="A28" s="4" t="s">
        <v>26</v>
      </c>
      <c r="B28" s="179">
        <v>0.112</v>
      </c>
      <c r="C28" s="4" t="s">
        <v>12</v>
      </c>
      <c r="D28" s="181">
        <f>$L$34</f>
        <v>693.3333333333334</v>
      </c>
      <c r="E28" s="181">
        <f>$M$34</f>
        <v>615.8333333333334</v>
      </c>
      <c r="F28" s="180">
        <v>0.06</v>
      </c>
      <c r="G28" s="4">
        <v>19.3</v>
      </c>
      <c r="H28" s="180">
        <f>$P$34</f>
        <v>0.15</v>
      </c>
      <c r="I28" s="4"/>
      <c r="J28" s="4"/>
      <c r="K28" s="1" t="s">
        <v>15</v>
      </c>
      <c r="L28" s="1">
        <v>633</v>
      </c>
      <c r="M28" s="1">
        <v>570</v>
      </c>
      <c r="N28" s="182">
        <f>F37</f>
        <v>0.06</v>
      </c>
      <c r="O28" s="183">
        <f>G37</f>
        <v>19.3</v>
      </c>
      <c r="P28" s="182">
        <f>H37</f>
        <v>0.126</v>
      </c>
      <c r="Q28" s="182">
        <v>0.1</v>
      </c>
    </row>
    <row r="29" spans="1:17" ht="12.75">
      <c r="A29" s="4" t="s">
        <v>22</v>
      </c>
      <c r="B29" s="179">
        <v>0.14</v>
      </c>
      <c r="C29" s="4" t="s">
        <v>33</v>
      </c>
      <c r="D29" s="4">
        <v>445</v>
      </c>
      <c r="E29" s="4">
        <v>520</v>
      </c>
      <c r="F29" s="180">
        <v>0.06</v>
      </c>
      <c r="G29" s="4">
        <v>19.3</v>
      </c>
      <c r="H29" s="180">
        <v>0.149</v>
      </c>
      <c r="I29" s="4"/>
      <c r="J29" s="4"/>
      <c r="K29" s="1" t="s">
        <v>18</v>
      </c>
      <c r="L29" s="1">
        <v>741</v>
      </c>
      <c r="M29" s="1">
        <v>630</v>
      </c>
      <c r="N29" s="182">
        <f>F40</f>
        <v>0.06</v>
      </c>
      <c r="O29" s="183">
        <f>G40</f>
        <v>19.3</v>
      </c>
      <c r="P29" s="182">
        <f>H40</f>
        <v>0.136</v>
      </c>
      <c r="Q29" s="182">
        <v>0.15</v>
      </c>
    </row>
    <row r="30" spans="1:17" ht="12.75">
      <c r="A30" s="4" t="s">
        <v>23</v>
      </c>
      <c r="B30" s="179">
        <v>0.13</v>
      </c>
      <c r="C30" s="4" t="s">
        <v>33</v>
      </c>
      <c r="D30" s="4">
        <v>402</v>
      </c>
      <c r="E30" s="4">
        <v>410</v>
      </c>
      <c r="F30" s="180">
        <v>0.06</v>
      </c>
      <c r="G30" s="4">
        <v>19.3</v>
      </c>
      <c r="H30" s="180">
        <v>0.138</v>
      </c>
      <c r="I30" s="4"/>
      <c r="J30" s="4"/>
      <c r="K30" s="1" t="s">
        <v>66</v>
      </c>
      <c r="O30" s="183"/>
      <c r="Q30" s="182"/>
    </row>
    <row r="31" spans="1:17" ht="12.75">
      <c r="A31" s="4" t="s">
        <v>24</v>
      </c>
      <c r="B31" s="179">
        <v>0.08</v>
      </c>
      <c r="C31" s="4" t="s">
        <v>33</v>
      </c>
      <c r="D31" s="4">
        <v>707</v>
      </c>
      <c r="E31" s="4">
        <v>680</v>
      </c>
      <c r="F31" s="180">
        <v>0.06</v>
      </c>
      <c r="G31" s="4">
        <v>19.3</v>
      </c>
      <c r="H31" s="180">
        <v>0.179</v>
      </c>
      <c r="I31" s="4"/>
      <c r="J31" s="4"/>
      <c r="K31" s="1" t="s">
        <v>20</v>
      </c>
      <c r="L31" s="1">
        <v>755</v>
      </c>
      <c r="M31" s="1">
        <v>650</v>
      </c>
      <c r="N31" s="182">
        <f>F42</f>
        <v>0.06</v>
      </c>
      <c r="O31" s="183">
        <f>G42</f>
        <v>19.3</v>
      </c>
      <c r="P31" s="182">
        <f>H42</f>
        <v>0.132</v>
      </c>
      <c r="Q31" s="182">
        <v>0.14</v>
      </c>
    </row>
    <row r="32" spans="1:17" ht="12.75">
      <c r="A32" s="4" t="s">
        <v>25</v>
      </c>
      <c r="B32" s="179">
        <v>0.15</v>
      </c>
      <c r="C32" s="4" t="s">
        <v>33</v>
      </c>
      <c r="D32" s="4">
        <v>500</v>
      </c>
      <c r="E32" s="4">
        <v>520</v>
      </c>
      <c r="F32" s="180">
        <v>0.06</v>
      </c>
      <c r="G32" s="4">
        <v>19.3</v>
      </c>
      <c r="H32" s="180">
        <v>0.102</v>
      </c>
      <c r="I32" s="4"/>
      <c r="J32" s="4"/>
      <c r="K32" s="1" t="s">
        <v>17</v>
      </c>
      <c r="L32" s="1">
        <v>585</v>
      </c>
      <c r="M32" s="1">
        <v>515</v>
      </c>
      <c r="N32" s="182">
        <f>F39</f>
        <v>0.06</v>
      </c>
      <c r="O32" s="183">
        <f>G39</f>
        <v>19.3</v>
      </c>
      <c r="P32" s="182">
        <f>H39</f>
        <v>0.139</v>
      </c>
      <c r="Q32" s="182">
        <v>0.12</v>
      </c>
    </row>
    <row r="33" spans="1:15" ht="12.75">
      <c r="A33" s="4" t="s">
        <v>27</v>
      </c>
      <c r="B33" s="179">
        <v>0.125</v>
      </c>
      <c r="C33" s="4" t="s">
        <v>9</v>
      </c>
      <c r="D33" s="181">
        <f>$L$41</f>
        <v>556.6666666666666</v>
      </c>
      <c r="E33" s="181">
        <f>$M$41</f>
        <v>494</v>
      </c>
      <c r="F33" s="180">
        <v>0.062</v>
      </c>
      <c r="G33" s="4">
        <v>20.4</v>
      </c>
      <c r="H33" s="180">
        <f>$P$41</f>
        <v>0.11733333333333333</v>
      </c>
      <c r="I33" s="4"/>
      <c r="J33" s="4"/>
      <c r="K33" s="1" t="s">
        <v>67</v>
      </c>
      <c r="O33" s="183"/>
    </row>
    <row r="34" spans="1:17" ht="12.75">
      <c r="A34" s="4" t="s">
        <v>27</v>
      </c>
      <c r="B34" s="179">
        <v>0.125</v>
      </c>
      <c r="C34" s="4" t="s">
        <v>10</v>
      </c>
      <c r="D34" s="181">
        <f>$L$41</f>
        <v>556.6666666666666</v>
      </c>
      <c r="E34" s="181">
        <f>$M$41</f>
        <v>494</v>
      </c>
      <c r="F34" s="180">
        <v>0.062</v>
      </c>
      <c r="G34" s="4">
        <v>20.4</v>
      </c>
      <c r="H34" s="180">
        <f>$P$41</f>
        <v>0.11733333333333333</v>
      </c>
      <c r="I34" s="4"/>
      <c r="J34" s="4"/>
      <c r="K34" s="117" t="s">
        <v>161</v>
      </c>
      <c r="L34" s="261">
        <f aca="true" t="shared" si="4" ref="L34:Q34">AVERAGE(L26:L33)</f>
        <v>693.3333333333334</v>
      </c>
      <c r="M34" s="261">
        <f t="shared" si="4"/>
        <v>615.8333333333334</v>
      </c>
      <c r="N34" s="262">
        <f t="shared" si="4"/>
        <v>0.06</v>
      </c>
      <c r="O34" s="263">
        <f t="shared" si="4"/>
        <v>19.3</v>
      </c>
      <c r="P34" s="262">
        <f t="shared" si="4"/>
        <v>0.15</v>
      </c>
      <c r="Q34" s="262">
        <f t="shared" si="4"/>
        <v>0.11166666666666668</v>
      </c>
    </row>
    <row r="35" spans="1:10" ht="12.75">
      <c r="A35" s="4" t="s">
        <v>27</v>
      </c>
      <c r="B35" s="179">
        <v>0.125</v>
      </c>
      <c r="C35" s="4" t="s">
        <v>11</v>
      </c>
      <c r="D35" s="181">
        <f>$L$41</f>
        <v>556.6666666666666</v>
      </c>
      <c r="E35" s="181">
        <f>$M$41</f>
        <v>494</v>
      </c>
      <c r="F35" s="180">
        <v>0.062</v>
      </c>
      <c r="G35" s="4">
        <v>20.4</v>
      </c>
      <c r="H35" s="180">
        <f>$P$41</f>
        <v>0.11733333333333333</v>
      </c>
      <c r="I35" s="4"/>
      <c r="J35" s="4"/>
    </row>
    <row r="36" spans="1:11" ht="12.75">
      <c r="A36" s="4" t="s">
        <v>27</v>
      </c>
      <c r="B36" s="179">
        <v>0.125</v>
      </c>
      <c r="C36" s="4" t="s">
        <v>12</v>
      </c>
      <c r="D36" s="181">
        <f>$L$41</f>
        <v>556.6666666666666</v>
      </c>
      <c r="E36" s="181">
        <f>$M$41</f>
        <v>494</v>
      </c>
      <c r="F36" s="180">
        <v>0.062</v>
      </c>
      <c r="G36" s="4">
        <v>20.4</v>
      </c>
      <c r="H36" s="180">
        <f>$P$41</f>
        <v>0.11733333333333333</v>
      </c>
      <c r="I36" s="4"/>
      <c r="J36" s="4"/>
      <c r="K36" s="117" t="s">
        <v>136</v>
      </c>
    </row>
    <row r="37" spans="1:17" ht="12.75">
      <c r="A37" s="4" t="s">
        <v>15</v>
      </c>
      <c r="B37" s="179">
        <v>0.1</v>
      </c>
      <c r="C37" s="4" t="s">
        <v>34</v>
      </c>
      <c r="D37" s="4">
        <v>633</v>
      </c>
      <c r="E37" s="4">
        <v>600</v>
      </c>
      <c r="F37" s="180">
        <v>0.06</v>
      </c>
      <c r="G37" s="4">
        <v>19.3</v>
      </c>
      <c r="H37" s="180">
        <v>0.126</v>
      </c>
      <c r="I37" s="4"/>
      <c r="J37" s="4"/>
      <c r="K37" s="1" t="s">
        <v>1</v>
      </c>
      <c r="L37" s="1">
        <v>475</v>
      </c>
      <c r="M37" s="1">
        <v>427</v>
      </c>
      <c r="N37" s="182">
        <f>F43</f>
        <v>0.062</v>
      </c>
      <c r="O37" s="183">
        <f>G43</f>
        <v>20.4</v>
      </c>
      <c r="P37" s="182">
        <f>H43</f>
        <v>0.117</v>
      </c>
      <c r="Q37" s="182">
        <v>0.12</v>
      </c>
    </row>
    <row r="38" spans="1:17" ht="12.75">
      <c r="A38" s="4" t="s">
        <v>16</v>
      </c>
      <c r="B38" s="179">
        <v>0.12</v>
      </c>
      <c r="C38" s="4" t="s">
        <v>34</v>
      </c>
      <c r="D38" s="4">
        <v>479</v>
      </c>
      <c r="E38" s="4">
        <v>450</v>
      </c>
      <c r="F38" s="180">
        <v>0.06</v>
      </c>
      <c r="G38" s="4">
        <v>19.3</v>
      </c>
      <c r="H38" s="180">
        <v>0.12</v>
      </c>
      <c r="I38" s="4"/>
      <c r="J38" s="4"/>
      <c r="K38" s="1" t="s">
        <v>69</v>
      </c>
      <c r="O38" s="183"/>
      <c r="Q38" s="182"/>
    </row>
    <row r="39" spans="1:17" ht="12.75">
      <c r="A39" s="4" t="s">
        <v>17</v>
      </c>
      <c r="B39" s="179">
        <v>0.12</v>
      </c>
      <c r="C39" s="4" t="s">
        <v>34</v>
      </c>
      <c r="D39" s="4">
        <v>585</v>
      </c>
      <c r="E39" s="4">
        <v>640</v>
      </c>
      <c r="F39" s="180">
        <v>0.06</v>
      </c>
      <c r="G39" s="4">
        <v>19.3</v>
      </c>
      <c r="H39" s="180">
        <v>0.139</v>
      </c>
      <c r="I39" s="4"/>
      <c r="J39" s="4"/>
      <c r="K39" s="1" t="s">
        <v>70</v>
      </c>
      <c r="L39" s="1">
        <v>570</v>
      </c>
      <c r="M39" s="1">
        <v>510</v>
      </c>
      <c r="N39" s="182">
        <f aca="true" t="shared" si="5" ref="N39:P40">F45</f>
        <v>0.062</v>
      </c>
      <c r="O39" s="183">
        <f t="shared" si="5"/>
        <v>20.4</v>
      </c>
      <c r="P39" s="182">
        <f t="shared" si="5"/>
        <v>0.121</v>
      </c>
      <c r="Q39" s="182">
        <v>0.13</v>
      </c>
    </row>
    <row r="40" spans="1:17" ht="12.75">
      <c r="A40" s="4" t="s">
        <v>18</v>
      </c>
      <c r="B40" s="179">
        <v>0.15</v>
      </c>
      <c r="C40" s="4" t="s">
        <v>34</v>
      </c>
      <c r="D40" s="4">
        <v>741</v>
      </c>
      <c r="E40" s="4">
        <v>670</v>
      </c>
      <c r="F40" s="180">
        <v>0.06</v>
      </c>
      <c r="G40" s="4">
        <v>19.3</v>
      </c>
      <c r="H40" s="180">
        <v>0.136</v>
      </c>
      <c r="I40" s="4"/>
      <c r="J40" s="4"/>
      <c r="K40" s="1" t="s">
        <v>7</v>
      </c>
      <c r="L40" s="1">
        <v>625</v>
      </c>
      <c r="M40" s="1">
        <v>545</v>
      </c>
      <c r="N40" s="182">
        <f t="shared" si="5"/>
        <v>0.062</v>
      </c>
      <c r="O40" s="183">
        <f t="shared" si="5"/>
        <v>20.4</v>
      </c>
      <c r="P40" s="182">
        <f t="shared" si="5"/>
        <v>0.114</v>
      </c>
      <c r="Q40" s="182">
        <v>0.13</v>
      </c>
    </row>
    <row r="41" spans="1:17" ht="12.75">
      <c r="A41" s="4" t="s">
        <v>19</v>
      </c>
      <c r="B41" s="179">
        <v>0.15</v>
      </c>
      <c r="C41" s="4" t="s">
        <v>34</v>
      </c>
      <c r="D41" s="4">
        <v>541</v>
      </c>
      <c r="E41" s="4">
        <v>490</v>
      </c>
      <c r="F41" s="180">
        <v>0.06</v>
      </c>
      <c r="G41" s="4">
        <v>19.3</v>
      </c>
      <c r="H41" s="180">
        <v>0.131</v>
      </c>
      <c r="I41" s="4"/>
      <c r="J41" s="4"/>
      <c r="K41" s="117" t="s">
        <v>161</v>
      </c>
      <c r="L41" s="261">
        <f aca="true" t="shared" si="6" ref="L41:Q41">AVERAGE(L37:L40)</f>
        <v>556.6666666666666</v>
      </c>
      <c r="M41" s="261">
        <f t="shared" si="6"/>
        <v>494</v>
      </c>
      <c r="N41" s="262">
        <f t="shared" si="6"/>
        <v>0.062</v>
      </c>
      <c r="O41" s="263">
        <f t="shared" si="6"/>
        <v>20.4</v>
      </c>
      <c r="P41" s="262">
        <f t="shared" si="6"/>
        <v>0.11733333333333333</v>
      </c>
      <c r="Q41" s="262">
        <f t="shared" si="6"/>
        <v>0.12666666666666668</v>
      </c>
    </row>
    <row r="42" spans="1:10" ht="12.75">
      <c r="A42" s="4" t="s">
        <v>20</v>
      </c>
      <c r="B42" s="179">
        <v>0.14</v>
      </c>
      <c r="C42" s="4" t="s">
        <v>34</v>
      </c>
      <c r="D42" s="4">
        <v>755</v>
      </c>
      <c r="E42" s="4">
        <v>670</v>
      </c>
      <c r="F42" s="180">
        <v>0.06</v>
      </c>
      <c r="G42" s="4">
        <v>19.3</v>
      </c>
      <c r="H42" s="180">
        <v>0.132</v>
      </c>
      <c r="I42" s="4"/>
      <c r="J42" s="4"/>
    </row>
    <row r="43" spans="1:10" ht="12.75">
      <c r="A43" s="4" t="s">
        <v>1</v>
      </c>
      <c r="B43" s="179">
        <v>0.12</v>
      </c>
      <c r="C43" s="4" t="s">
        <v>34</v>
      </c>
      <c r="D43" s="4">
        <v>475</v>
      </c>
      <c r="E43" s="4">
        <v>430</v>
      </c>
      <c r="F43" s="180">
        <v>0.062</v>
      </c>
      <c r="G43" s="4">
        <v>20.4</v>
      </c>
      <c r="H43" s="180">
        <v>0.117</v>
      </c>
      <c r="I43" s="4"/>
      <c r="J43" s="4"/>
    </row>
    <row r="44" spans="1:10" ht="12.75">
      <c r="A44" s="4" t="s">
        <v>21</v>
      </c>
      <c r="B44" s="179">
        <v>0.08</v>
      </c>
      <c r="C44" s="4" t="s">
        <v>34</v>
      </c>
      <c r="D44" s="4">
        <v>739</v>
      </c>
      <c r="E44" s="4">
        <v>750</v>
      </c>
      <c r="F44" s="180">
        <v>0.06</v>
      </c>
      <c r="G44" s="4">
        <v>19.3</v>
      </c>
      <c r="H44" s="180">
        <v>0.188</v>
      </c>
      <c r="I44" s="4"/>
      <c r="J44" s="4"/>
    </row>
    <row r="45" spans="1:10" ht="12.75">
      <c r="A45" s="4" t="s">
        <v>2</v>
      </c>
      <c r="B45" s="179">
        <v>0.13</v>
      </c>
      <c r="C45" s="4" t="s">
        <v>34</v>
      </c>
      <c r="D45" s="4">
        <v>570</v>
      </c>
      <c r="E45" s="4">
        <v>510</v>
      </c>
      <c r="F45" s="180">
        <v>0.062</v>
      </c>
      <c r="G45" s="4">
        <v>20.4</v>
      </c>
      <c r="H45" s="180">
        <v>0.121</v>
      </c>
      <c r="I45" s="4"/>
      <c r="J45" s="4"/>
    </row>
    <row r="46" spans="1:10" ht="12.75">
      <c r="A46" s="4" t="s">
        <v>7</v>
      </c>
      <c r="B46" s="179">
        <v>0.13</v>
      </c>
      <c r="C46" s="4" t="s">
        <v>34</v>
      </c>
      <c r="D46" s="4">
        <v>625</v>
      </c>
      <c r="E46" s="4">
        <v>550</v>
      </c>
      <c r="F46" s="180">
        <v>0.062</v>
      </c>
      <c r="G46" s="4">
        <v>20.4</v>
      </c>
      <c r="H46" s="180">
        <v>0.114</v>
      </c>
      <c r="I46" s="4"/>
      <c r="J46" s="4"/>
    </row>
    <row r="47" spans="1:10" ht="12.75">
      <c r="A47" s="4" t="s">
        <v>26</v>
      </c>
      <c r="B47" s="179">
        <v>0.112</v>
      </c>
      <c r="C47" s="4" t="s">
        <v>34</v>
      </c>
      <c r="D47" s="181">
        <f>$L$34</f>
        <v>693.3333333333334</v>
      </c>
      <c r="E47" s="181">
        <f>$M$34</f>
        <v>615.8333333333334</v>
      </c>
      <c r="F47" s="180">
        <v>0.06</v>
      </c>
      <c r="G47" s="4">
        <v>19.3</v>
      </c>
      <c r="H47" s="180">
        <f>$P$34</f>
        <v>0.15</v>
      </c>
      <c r="I47" s="4"/>
      <c r="J47" s="4"/>
    </row>
    <row r="48" spans="1:10" ht="12.75">
      <c r="A48" s="4" t="s">
        <v>22</v>
      </c>
      <c r="B48" s="179">
        <v>0.14</v>
      </c>
      <c r="C48" s="4" t="s">
        <v>34</v>
      </c>
      <c r="D48" s="4">
        <v>445</v>
      </c>
      <c r="E48" s="4">
        <v>520</v>
      </c>
      <c r="F48" s="180">
        <v>0.06</v>
      </c>
      <c r="G48" s="4">
        <v>19.3</v>
      </c>
      <c r="H48" s="180">
        <v>0.149</v>
      </c>
      <c r="I48" s="4"/>
      <c r="J48" s="4"/>
    </row>
    <row r="49" spans="1:10" ht="12.75">
      <c r="A49" s="4" t="s">
        <v>23</v>
      </c>
      <c r="B49" s="179">
        <v>0.13</v>
      </c>
      <c r="C49" s="4" t="s">
        <v>34</v>
      </c>
      <c r="D49" s="4">
        <v>402</v>
      </c>
      <c r="E49" s="4">
        <v>410</v>
      </c>
      <c r="F49" s="180">
        <v>0.06</v>
      </c>
      <c r="G49" s="4">
        <v>19.3</v>
      </c>
      <c r="H49" s="180">
        <v>0.138</v>
      </c>
      <c r="I49" s="4"/>
      <c r="J49" s="4"/>
    </row>
    <row r="50" spans="1:10" ht="12.75">
      <c r="A50" s="4" t="s">
        <v>24</v>
      </c>
      <c r="B50" s="179">
        <v>0.08</v>
      </c>
      <c r="C50" s="4" t="s">
        <v>34</v>
      </c>
      <c r="D50" s="4">
        <v>707</v>
      </c>
      <c r="E50" s="4">
        <v>680</v>
      </c>
      <c r="F50" s="180">
        <v>0.06</v>
      </c>
      <c r="G50" s="4">
        <v>19.3</v>
      </c>
      <c r="H50" s="180">
        <v>0.179</v>
      </c>
      <c r="I50" s="4"/>
      <c r="J50" s="4"/>
    </row>
    <row r="51" spans="1:10" ht="12.75">
      <c r="A51" s="4" t="s">
        <v>25</v>
      </c>
      <c r="B51" s="179">
        <v>0.15</v>
      </c>
      <c r="C51" s="4" t="s">
        <v>34</v>
      </c>
      <c r="D51" s="4">
        <v>500</v>
      </c>
      <c r="E51" s="4">
        <v>520</v>
      </c>
      <c r="F51" s="180">
        <v>0.06</v>
      </c>
      <c r="G51" s="4">
        <v>19.3</v>
      </c>
      <c r="H51" s="180">
        <v>0.102</v>
      </c>
      <c r="I51" s="4"/>
      <c r="J51" s="4"/>
    </row>
    <row r="52" spans="1:10" ht="12.75">
      <c r="A52" s="4" t="s">
        <v>27</v>
      </c>
      <c r="B52" s="179">
        <v>0.115</v>
      </c>
      <c r="C52" s="4" t="s">
        <v>33</v>
      </c>
      <c r="D52" s="181">
        <f>$L$41</f>
        <v>556.6666666666666</v>
      </c>
      <c r="E52" s="181">
        <f>$M$41</f>
        <v>494</v>
      </c>
      <c r="F52" s="180">
        <v>0.062</v>
      </c>
      <c r="G52" s="4">
        <v>20.4</v>
      </c>
      <c r="H52" s="180">
        <f>$P$41</f>
        <v>0.11733333333333333</v>
      </c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</sheetData>
  <sheetProtection password="F582" sheet="1" objects="1" scenarios="1"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Arbeitszimmer</dc:creator>
  <cp:keywords/>
  <dc:description/>
  <cp:lastModifiedBy>G_Kuneth</cp:lastModifiedBy>
  <cp:lastPrinted>2008-01-13T19:07:12Z</cp:lastPrinted>
  <dcterms:created xsi:type="dcterms:W3CDTF">2007-11-15T15:39:10Z</dcterms:created>
  <dcterms:modified xsi:type="dcterms:W3CDTF">2008-01-14T06:34:41Z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